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codeName="ThisWorkbook" defaultThemeVersion="124226"/>
  <mc:AlternateContent xmlns:mc="http://schemas.openxmlformats.org/markup-compatibility/2006">
    <mc:Choice Requires="x15">
      <x15ac:absPath xmlns:x15ac="http://schemas.microsoft.com/office/spreadsheetml/2010/11/ac" url="https://realpac.sharepoint.com/sites/REALPACDrive/Shared Documents/Company/ESG/NEUI 2.0 &amp; NWUI 2.0/FINAL/"/>
    </mc:Choice>
  </mc:AlternateContent>
  <xr:revisionPtr revIDLastSave="0" documentId="8_{BD7C13C3-BE88-48B3-8951-3A5B801345B5}" xr6:coauthVersionLast="47" xr6:coauthVersionMax="47" xr10:uidLastSave="{00000000-0000-0000-0000-000000000000}"/>
  <workbookProtection workbookAlgorithmName="SHA-512" workbookHashValue="j6Boof0hAjQCV8yN7oY4zuGbMQOAASeNceVj8h5YphIOf53/OOXSMhLCQtITlGJm5iFKxGTnRxhlHWvgwgr1Xg==" workbookSaltValue="gKh9sM75F1KhrTZ9blK40g==" workbookSpinCount="100000" lockStructure="1"/>
  <bookViews>
    <workbookView xWindow="-110" yWindow="-110" windowWidth="19420" windowHeight="10420" xr2:uid="{A1F8D32C-DC2D-43A0-88E8-236499199027}"/>
  </bookViews>
  <sheets>
    <sheet name="Data Input" sheetId="3" r:id="rId1"/>
    <sheet name="NWUI Calculations" sheetId="13" r:id="rId2"/>
    <sheet name="REF - HDD,CDD  data" sheetId="10" r:id="rId3"/>
    <sheet name="REF - annual ET and EP data" sheetId="7" r:id="rId4"/>
    <sheet name="REF - Drop-down Menus" sheetId="4" state="hidden" r:id="rId5"/>
  </sheets>
  <definedNames>
    <definedName name="_xlnm._FilterDatabase" localSheetId="3" hidden="1">'REF - annual ET and EP data'!$A$6:$H$36</definedName>
    <definedName name="_xlnm.Print_Area" localSheetId="0">'Data Input'!$A$1:$V$58</definedName>
    <definedName name="_xlnm.Print_Area" localSheetId="1">'NWUI Calculations'!$A$1:$T$112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7" i="13" l="1"/>
  <c r="E50" i="3" l="1"/>
  <c r="J84" i="13"/>
  <c r="G7" i="13"/>
  <c r="I64" i="3"/>
  <c r="I63" i="3"/>
  <c r="I68" i="3"/>
  <c r="I72" i="3"/>
  <c r="I71" i="3"/>
  <c r="I70" i="3"/>
  <c r="I69" i="3"/>
  <c r="I62" i="3"/>
  <c r="E65" i="3"/>
  <c r="E23" i="13" s="1"/>
  <c r="U48" i="3"/>
  <c r="P48" i="3"/>
  <c r="K48" i="3"/>
  <c r="K13" i="3"/>
  <c r="K15" i="3" s="1"/>
  <c r="M85" i="13" l="1"/>
  <c r="K69" i="13"/>
  <c r="K68" i="13"/>
  <c r="I68" i="13"/>
  <c r="O58" i="13"/>
  <c r="L60" i="13"/>
  <c r="I69" i="13" s="1"/>
  <c r="G60" i="13"/>
  <c r="J58" i="13"/>
  <c r="K81" i="13"/>
  <c r="F76" i="13"/>
  <c r="F75" i="13"/>
  <c r="L75" i="13"/>
  <c r="M75" i="13" s="1"/>
  <c r="F66" i="13"/>
  <c r="G66" i="13"/>
  <c r="K67" i="13"/>
  <c r="K66" i="13"/>
  <c r="N60" i="13"/>
  <c r="M60" i="13"/>
  <c r="I67" i="13" s="1"/>
  <c r="K60" i="13"/>
  <c r="I60" i="13"/>
  <c r="M87" i="13" s="1"/>
  <c r="H60" i="13"/>
  <c r="I66" i="13" s="1"/>
  <c r="F60" i="13"/>
  <c r="I84" i="13" s="1"/>
  <c r="O59" i="13"/>
  <c r="J59" i="13"/>
  <c r="O57" i="13"/>
  <c r="J57" i="13"/>
  <c r="O56" i="13"/>
  <c r="J56" i="13"/>
  <c r="O55" i="13"/>
  <c r="J55" i="13"/>
  <c r="H23" i="13"/>
  <c r="I73" i="3"/>
  <c r="C29" i="13" s="1"/>
  <c r="E73" i="3"/>
  <c r="D29" i="13" s="1"/>
  <c r="L67" i="13" l="1"/>
  <c r="M67" i="13" s="1"/>
  <c r="J86" i="13" s="1"/>
  <c r="L66" i="13"/>
  <c r="M66" i="13" s="1"/>
  <c r="L68" i="13"/>
  <c r="M68" i="13" s="1"/>
  <c r="I85" i="13" s="1"/>
  <c r="L69" i="13"/>
  <c r="M69" i="13" s="1"/>
  <c r="J85" i="13" s="1"/>
  <c r="E29" i="13"/>
  <c r="I65" i="3"/>
  <c r="D23" i="13" s="1"/>
  <c r="K84" i="13"/>
  <c r="M84" i="13"/>
  <c r="F23" i="13"/>
  <c r="M86" i="13"/>
  <c r="O60" i="13"/>
  <c r="J60" i="13"/>
  <c r="I29" i="13"/>
  <c r="K85" i="13" l="1"/>
  <c r="M88" i="13"/>
  <c r="E99" i="13" l="1"/>
  <c r="D99" i="13"/>
  <c r="G99" i="13" s="1"/>
  <c r="G108" i="13" s="1"/>
  <c r="C17" i="13"/>
  <c r="F99" i="13" l="1"/>
  <c r="G109" i="13" s="1"/>
  <c r="I86" i="13" l="1"/>
  <c r="K86" i="13" s="1"/>
  <c r="E17" i="13"/>
  <c r="D17" i="13"/>
  <c r="U46" i="3"/>
  <c r="U47" i="3" s="1"/>
  <c r="P46" i="3"/>
  <c r="P47" i="3" s="1"/>
  <c r="K46" i="3"/>
  <c r="K47" i="3" s="1"/>
  <c r="F46" i="3"/>
  <c r="T45" i="3"/>
  <c r="O45" i="3"/>
  <c r="J45" i="3"/>
  <c r="E45" i="3"/>
  <c r="T44" i="3"/>
  <c r="O44" i="3"/>
  <c r="J44" i="3"/>
  <c r="E44" i="3"/>
  <c r="T43" i="3"/>
  <c r="O43" i="3"/>
  <c r="J43" i="3"/>
  <c r="E43" i="3"/>
  <c r="T42" i="3"/>
  <c r="O42" i="3"/>
  <c r="J42" i="3"/>
  <c r="E42" i="3"/>
  <c r="T41" i="3"/>
  <c r="O41" i="3"/>
  <c r="J41" i="3"/>
  <c r="E41" i="3"/>
  <c r="T40" i="3"/>
  <c r="O40" i="3"/>
  <c r="J40" i="3"/>
  <c r="E40" i="3"/>
  <c r="T39" i="3"/>
  <c r="O39" i="3"/>
  <c r="J39" i="3"/>
  <c r="E39" i="3"/>
  <c r="T38" i="3"/>
  <c r="O38" i="3"/>
  <c r="J38" i="3"/>
  <c r="E38" i="3"/>
  <c r="T37" i="3"/>
  <c r="O37" i="3"/>
  <c r="J37" i="3"/>
  <c r="E37" i="3"/>
  <c r="T36" i="3"/>
  <c r="O36" i="3"/>
  <c r="J36" i="3"/>
  <c r="E36" i="3"/>
  <c r="T35" i="3"/>
  <c r="O35" i="3"/>
  <c r="J35" i="3"/>
  <c r="E35" i="3"/>
  <c r="T34" i="3"/>
  <c r="O34" i="3"/>
  <c r="J34" i="3"/>
  <c r="E34" i="3"/>
  <c r="G75" i="13"/>
  <c r="H75" i="13" s="1"/>
  <c r="K76" i="13" l="1"/>
  <c r="N76" i="13" s="1"/>
  <c r="K75" i="13"/>
  <c r="N75" i="13" s="1"/>
  <c r="G23" i="13"/>
  <c r="I23" i="13" s="1"/>
  <c r="G36" i="13" s="1"/>
  <c r="O46" i="3"/>
  <c r="G17" i="13"/>
  <c r="E46" i="3"/>
  <c r="F47" i="3" s="1"/>
  <c r="T46" i="3"/>
  <c r="F17" i="13"/>
  <c r="J46" i="3"/>
  <c r="N77" i="13" l="1"/>
  <c r="I87" i="13" s="1"/>
  <c r="K87" i="13" s="1"/>
  <c r="K88" i="13" s="1"/>
  <c r="M90" i="13" s="1"/>
  <c r="G106" i="13" s="1"/>
  <c r="L17" i="13"/>
  <c r="M17" i="13" s="1"/>
  <c r="N17" i="13" s="1"/>
  <c r="F48" i="3"/>
  <c r="G6" i="13" l="1"/>
  <c r="G35" i="13"/>
  <c r="G9" i="13" l="1"/>
  <c r="H29" i="13"/>
  <c r="J29" i="13" s="1"/>
  <c r="F29" i="13" l="1"/>
  <c r="G32" i="13"/>
  <c r="K29" i="13" l="1"/>
  <c r="G37" i="13" s="1"/>
  <c r="G39" i="13" s="1"/>
  <c r="G105" i="13" s="1"/>
  <c r="G107" i="13" s="1"/>
  <c r="G111" i="13" s="1"/>
  <c r="G29" i="13"/>
</calcChain>
</file>

<file path=xl/sharedStrings.xml><?xml version="1.0" encoding="utf-8"?>
<sst xmlns="http://schemas.openxmlformats.org/spreadsheetml/2006/main" count="371" uniqueCount="220">
  <si>
    <t>Vancouver, BC</t>
  </si>
  <si>
    <t>Calgary, AB</t>
  </si>
  <si>
    <t>Toronto, ON</t>
  </si>
  <si>
    <t>City</t>
  </si>
  <si>
    <t>(Drop-down)</t>
  </si>
  <si>
    <t>Other</t>
  </si>
  <si>
    <t>Jan</t>
  </si>
  <si>
    <t>Feb</t>
  </si>
  <si>
    <t>Mar</t>
  </si>
  <si>
    <t>Apr</t>
  </si>
  <si>
    <t>May</t>
  </si>
  <si>
    <t>Jun</t>
  </si>
  <si>
    <t>Jul</t>
  </si>
  <si>
    <t>Aug</t>
  </si>
  <si>
    <t>Sep</t>
  </si>
  <si>
    <t>Oct</t>
  </si>
  <si>
    <t>Nov</t>
  </si>
  <si>
    <t>Dec</t>
  </si>
  <si>
    <t>Consumption</t>
  </si>
  <si>
    <t>Month</t>
  </si>
  <si>
    <t>m3</t>
  </si>
  <si>
    <t>Montreal, QC</t>
  </si>
  <si>
    <t>Ottawa, ON</t>
  </si>
  <si>
    <t>Number of Occupants:</t>
  </si>
  <si>
    <t>Units:</t>
  </si>
  <si>
    <t>Closest Major City:</t>
  </si>
  <si>
    <t>Building (Name):</t>
  </si>
  <si>
    <t>Victoria, BC</t>
  </si>
  <si>
    <t>Edmonton, AB</t>
  </si>
  <si>
    <t>Quebec City, QC</t>
  </si>
  <si>
    <t>Halifax, NS</t>
  </si>
  <si>
    <t>Winnipeg, MB</t>
  </si>
  <si>
    <t>Fredericton, NB</t>
  </si>
  <si>
    <t>Charlottetown, PE</t>
  </si>
  <si>
    <t>Regina, SK</t>
  </si>
  <si>
    <t>St. John's, NL</t>
  </si>
  <si>
    <t>Kelowna, BC</t>
  </si>
  <si>
    <t>365 day normalization</t>
  </si>
  <si>
    <t>Building Owner (Org.Name):</t>
  </si>
  <si>
    <r>
      <t>Occupant Density (occ/1000 ft</t>
    </r>
    <r>
      <rPr>
        <vertAlign val="superscript"/>
        <sz val="10"/>
        <color indexed="8"/>
        <rFont val="Calibri"/>
        <family val="2"/>
        <scheme val="minor"/>
      </rPr>
      <t>2</t>
    </r>
    <r>
      <rPr>
        <sz val="10"/>
        <color indexed="8"/>
        <rFont val="Calibri"/>
        <family val="2"/>
        <scheme val="minor"/>
      </rPr>
      <t xml:space="preserve"> of GFA) = </t>
    </r>
  </si>
  <si>
    <r>
      <t>Gross Floor Area (ft</t>
    </r>
    <r>
      <rPr>
        <vertAlign val="superscript"/>
        <sz val="10"/>
        <color indexed="8"/>
        <rFont val="Calibri"/>
        <family val="2"/>
        <scheme val="minor"/>
      </rPr>
      <t>2</t>
    </r>
    <r>
      <rPr>
        <sz val="10"/>
        <color indexed="8"/>
        <rFont val="Calibri"/>
        <family val="2"/>
        <scheme val="minor"/>
      </rPr>
      <t>):</t>
    </r>
  </si>
  <si>
    <t>Weekly Operating Hours:</t>
  </si>
  <si>
    <t>YES</t>
  </si>
  <si>
    <t>NO</t>
  </si>
  <si>
    <t>Annual Year of Water Data:</t>
  </si>
  <si>
    <t>L</t>
  </si>
  <si>
    <t>Actual Water Use (Whole Building):</t>
  </si>
  <si>
    <t>Conversion to L</t>
  </si>
  <si>
    <r>
      <t>L/ft</t>
    </r>
    <r>
      <rPr>
        <vertAlign val="superscript"/>
        <sz val="10"/>
        <color indexed="8"/>
        <rFont val="Calibri"/>
        <family val="2"/>
        <scheme val="minor"/>
      </rPr>
      <t>2</t>
    </r>
    <r>
      <rPr>
        <sz val="10"/>
        <color indexed="8"/>
        <rFont val="Calibri"/>
        <family val="2"/>
        <scheme val="minor"/>
      </rPr>
      <t>/year</t>
    </r>
  </si>
  <si>
    <t>Description</t>
  </si>
  <si>
    <t>Kitchen Use</t>
  </si>
  <si>
    <t>gal (US)</t>
  </si>
  <si>
    <t>Domestic Use</t>
  </si>
  <si>
    <t>Location</t>
  </si>
  <si>
    <t>Year</t>
  </si>
  <si>
    <t>CDD</t>
  </si>
  <si>
    <t>Replaces typical use</t>
  </si>
  <si>
    <t>Space</t>
  </si>
  <si>
    <t>Other: (please specify)</t>
  </si>
  <si>
    <t>Calculated Irrigation Credit
(L)</t>
  </si>
  <si>
    <t>Evapotranspiration (mm)</t>
  </si>
  <si>
    <t>Effective Precipitation (mm)</t>
  </si>
  <si>
    <t>Charlottetown, PEI</t>
  </si>
  <si>
    <t>St Johns, NL</t>
  </si>
  <si>
    <t>--</t>
  </si>
  <si>
    <t>In addition to typical use</t>
  </si>
  <si>
    <r>
      <rPr>
        <vertAlign val="superscript"/>
        <sz val="10"/>
        <color rgb="FF000000"/>
        <rFont val="Calibri"/>
        <family val="2"/>
        <scheme val="minor"/>
      </rPr>
      <t>1</t>
    </r>
    <r>
      <rPr>
        <sz val="10"/>
        <color indexed="8"/>
        <rFont val="Calibri"/>
        <family val="2"/>
        <scheme val="minor"/>
      </rPr>
      <t xml:space="preserve">Exceptional water use is defined as water consumption over and above what would be typically considered reasonable for an office tenant.  The area of the space associated with exceptional water use must be measured, and the water consumption accurately measured/metered.  </t>
    </r>
  </si>
  <si>
    <t>YES/NO:</t>
  </si>
  <si>
    <t>Exceptional Use Types:</t>
  </si>
  <si>
    <r>
      <t xml:space="preserve">From
</t>
    </r>
    <r>
      <rPr>
        <sz val="8"/>
        <color theme="0"/>
        <rFont val="Calibri"/>
        <family val="2"/>
        <scheme val="minor"/>
      </rPr>
      <t>(ddmmmyy)</t>
    </r>
  </si>
  <si>
    <r>
      <t xml:space="preserve">To
</t>
    </r>
    <r>
      <rPr>
        <sz val="8"/>
        <color theme="0"/>
        <rFont val="Calibri"/>
        <family val="2"/>
        <scheme val="minor"/>
      </rPr>
      <t>(ddmmmyy)</t>
    </r>
  </si>
  <si>
    <t>Billing
days</t>
  </si>
  <si>
    <t>Account Number:</t>
  </si>
  <si>
    <t>Building Location</t>
  </si>
  <si>
    <t>Operating Hours (hrs/week)</t>
  </si>
  <si>
    <t>CDD Dependent</t>
  </si>
  <si>
    <t>Calculations</t>
  </si>
  <si>
    <t>Data Input</t>
  </si>
  <si>
    <t>Irrigation</t>
  </si>
  <si>
    <r>
      <rPr>
        <vertAlign val="superscript"/>
        <sz val="10"/>
        <color theme="1"/>
        <rFont val="Calibri"/>
        <family val="2"/>
      </rPr>
      <t>(1)</t>
    </r>
    <r>
      <rPr>
        <sz val="10"/>
        <color theme="1"/>
        <rFont val="Calibri"/>
        <family val="2"/>
      </rPr>
      <t>Answer “YES” if primary cooling relies on an evaporative process or any other water-consuming process.</t>
    </r>
  </si>
  <si>
    <r>
      <t>Irrigated area (ft</t>
    </r>
    <r>
      <rPr>
        <vertAlign val="superscript"/>
        <sz val="10"/>
        <color rgb="FF000000"/>
        <rFont val="Calibri"/>
        <family val="2"/>
        <scheme val="minor"/>
      </rPr>
      <t>2</t>
    </r>
    <r>
      <rPr>
        <sz val="10"/>
        <color indexed="8"/>
        <rFont val="Calibri"/>
        <family val="2"/>
        <scheme val="minor"/>
      </rPr>
      <t>):</t>
    </r>
  </si>
  <si>
    <t>Billing
Days</t>
  </si>
  <si>
    <r>
      <rPr>
        <sz val="10"/>
        <color indexed="8"/>
        <rFont val="Calibri"/>
        <family val="2"/>
      </rPr>
      <t>•</t>
    </r>
    <r>
      <rPr>
        <sz val="8.5"/>
        <color indexed="8"/>
        <rFont val="Calibri"/>
        <family val="2"/>
      </rPr>
      <t xml:space="preserve"> </t>
    </r>
    <r>
      <rPr>
        <sz val="10"/>
        <color indexed="8"/>
        <rFont val="Calibri"/>
        <family val="2"/>
        <scheme val="minor"/>
      </rPr>
      <t xml:space="preserve">Exceptional water use does not include water associated with straight-to-drain cooling, measured irrigation, or measured cooling tower use. </t>
    </r>
  </si>
  <si>
    <r>
      <rPr>
        <sz val="10"/>
        <color indexed="8"/>
        <rFont val="Calibri"/>
        <family val="2"/>
      </rPr>
      <t xml:space="preserve">• </t>
    </r>
    <r>
      <rPr>
        <sz val="8.5"/>
        <color indexed="8"/>
        <rFont val="Calibri"/>
        <family val="2"/>
      </rPr>
      <t>E</t>
    </r>
    <r>
      <rPr>
        <sz val="10"/>
        <color indexed="8"/>
        <rFont val="Calibri"/>
        <family val="2"/>
        <scheme val="minor"/>
      </rPr>
      <t xml:space="preserve">xamples of eligible exceptional water users include restaurants, retail tenants and fitness centres. </t>
    </r>
  </si>
  <si>
    <t>Annual Cooling Degree Days (CDD)</t>
  </si>
  <si>
    <t>Calculation of Irrigation Credit</t>
  </si>
  <si>
    <t>Evapotranspiration Over Growing Season
(mm/yr)</t>
  </si>
  <si>
    <t>Effective Precipitation Over Growing Season
(mm/yr)</t>
  </si>
  <si>
    <t>Conventional Irrigation Intensity Factor
(L/ft2 irrig. area/yr)</t>
  </si>
  <si>
    <t>Irrigation System Efficiency
(Default = 0.65)</t>
  </si>
  <si>
    <t>Density Factor
(Default = 1)</t>
  </si>
  <si>
    <t>Microclimate Factor
(Default = 1)</t>
  </si>
  <si>
    <t>L/ft²/year</t>
  </si>
  <si>
    <t>Calculation of Exceptional Use Adjustments</t>
  </si>
  <si>
    <t>Exceptional use type - "In addition to typical use"</t>
  </si>
  <si>
    <t>Exceptional use type - "Replaces typical use"</t>
  </si>
  <si>
    <t>Standard Building Weather, Occupancy Density, Hours of Use</t>
  </si>
  <si>
    <t>Standard Building Values</t>
  </si>
  <si>
    <t>Calculation of Weather-Dependent Components of Adjusted WUI</t>
  </si>
  <si>
    <t>Calculation of People-Dependent Components of Adjusted WUI</t>
  </si>
  <si>
    <t>Year-Round Cooling
(Yes/No)</t>
  </si>
  <si>
    <t>Year-Round Cooling Credit
(L/ft²/year)</t>
  </si>
  <si>
    <t>Water-Side Cooling Adjustments</t>
  </si>
  <si>
    <t>Calculation of Adjusted Model WUI</t>
  </si>
  <si>
    <t>Component</t>
  </si>
  <si>
    <t>Not affected by external factors</t>
  </si>
  <si>
    <t>Adjusted WUI:</t>
  </si>
  <si>
    <t>Year-Round Cooling Adjustment:</t>
  </si>
  <si>
    <t>Historical Water Weather Data</t>
  </si>
  <si>
    <t>Historical Temperature Weather Data</t>
  </si>
  <si>
    <t>Evapotranspiration and Effective Precipitation (May-September)</t>
  </si>
  <si>
    <t>Annual year:</t>
  </si>
  <si>
    <t>City:</t>
  </si>
  <si>
    <t>Water Use:</t>
  </si>
  <si>
    <t>UOM</t>
  </si>
  <si>
    <t>Factor</t>
  </si>
  <si>
    <t>Cooling Tower Absence Adjustment
(L/ft²/year)</t>
  </si>
  <si>
    <r>
      <rPr>
        <vertAlign val="superscript"/>
        <sz val="10"/>
        <color rgb="FF000000"/>
        <rFont val="Calibri"/>
        <family val="2"/>
        <scheme val="minor"/>
      </rPr>
      <t>1</t>
    </r>
    <r>
      <rPr>
        <sz val="10"/>
        <color indexed="8"/>
        <rFont val="Calibri"/>
        <family val="2"/>
        <scheme val="minor"/>
      </rPr>
      <t>Standard building has a chiller plant with cooling tower that only operates during the summertime.</t>
    </r>
  </si>
  <si>
    <t>Does this building have soft landscaping (irrigation)?</t>
  </si>
  <si>
    <r>
      <t>Model WUI</t>
    </r>
    <r>
      <rPr>
        <b/>
        <sz val="9"/>
        <color theme="0"/>
        <rFont val="Arial"/>
        <family val="2"/>
      </rPr>
      <t xml:space="preserve"> 
(for reference)</t>
    </r>
  </si>
  <si>
    <t>Actual Water Use (Adjusted WUI):</t>
  </si>
  <si>
    <t>ft³</t>
  </si>
  <si>
    <t>ccf</t>
  </si>
  <si>
    <r>
      <t>Does the cooling tower operate year-round?</t>
    </r>
    <r>
      <rPr>
        <vertAlign val="superscript"/>
        <sz val="10"/>
        <color rgb="FF000000"/>
        <rFont val="Calibri"/>
        <family val="2"/>
        <scheme val="minor"/>
      </rPr>
      <t>(2)</t>
    </r>
  </si>
  <si>
    <r>
      <t>Does this building have a cooling tower?</t>
    </r>
    <r>
      <rPr>
        <vertAlign val="superscript"/>
        <sz val="10"/>
        <color rgb="FF000000"/>
        <rFont val="Calibri"/>
        <family val="2"/>
        <scheme val="minor"/>
      </rPr>
      <t>(1)</t>
    </r>
  </si>
  <si>
    <r>
      <rPr>
        <vertAlign val="superscript"/>
        <sz val="10"/>
        <color theme="1"/>
        <rFont val="Calibri"/>
        <family val="2"/>
      </rPr>
      <t>(2)</t>
    </r>
    <r>
      <rPr>
        <sz val="10"/>
        <color theme="1"/>
        <rFont val="Calibri"/>
        <family val="2"/>
      </rPr>
      <t xml:space="preserve"> Answer "YES" if the building uses waterside free cooling, or otherwise requires the cooling tower to operate during the winter.</t>
    </r>
  </si>
  <si>
    <t>Cooling Tower
(Yes/No)</t>
  </si>
  <si>
    <t>Absence of Cooling Tower Adjustment:</t>
  </si>
  <si>
    <t>Actual Water Use (Actual WUI):</t>
  </si>
  <si>
    <t>Cooling</t>
  </si>
  <si>
    <t>Data Input Step 1: Enter Relevant Building Data</t>
  </si>
  <si>
    <t>Data Input Step 2: Enter Historical Water Consumption Data</t>
  </si>
  <si>
    <t>Data Input Step 3: Enter Eligible¹ High Intensity and Exceptional Water Use Data</t>
  </si>
  <si>
    <t>Calculation Step 1: Calculate Actual Water Use Intensity (Actual WUI)</t>
  </si>
  <si>
    <t>Building GFA:</t>
  </si>
  <si>
    <t>ft²</t>
  </si>
  <si>
    <t>L/year</t>
  </si>
  <si>
    <t>Gross water consumption (prorated):</t>
  </si>
  <si>
    <t xml:space="preserve">Calculation Step 5:  Cooling Tower Adjustments¹ </t>
  </si>
  <si>
    <t>Calculation Step 6: Calculate NWUI</t>
  </si>
  <si>
    <r>
      <t>Normalization Factor n</t>
    </r>
    <r>
      <rPr>
        <vertAlign val="subscript"/>
        <sz val="11"/>
        <color theme="1"/>
        <rFont val="Calibri"/>
        <family val="2"/>
        <scheme val="minor"/>
      </rPr>
      <t>f</t>
    </r>
    <r>
      <rPr>
        <sz val="11"/>
        <color theme="1"/>
        <rFont val="Calibri"/>
        <family val="2"/>
        <scheme val="minor"/>
      </rPr>
      <t>:</t>
    </r>
  </si>
  <si>
    <t>Normalization Factor:</t>
  </si>
  <si>
    <t>Drop-down Menus</t>
  </si>
  <si>
    <r>
      <t>Irrigated Area (ft</t>
    </r>
    <r>
      <rPr>
        <vertAlign val="superscript"/>
        <sz val="10"/>
        <color theme="0"/>
        <rFont val="Calibri"/>
        <family val="2"/>
        <scheme val="minor"/>
      </rPr>
      <t>2</t>
    </r>
    <r>
      <rPr>
        <sz val="10"/>
        <color theme="0"/>
        <rFont val="Calibri"/>
        <family val="2"/>
        <scheme val="minor"/>
      </rPr>
      <t>)</t>
    </r>
  </si>
  <si>
    <r>
      <t>Species Factor
K</t>
    </r>
    <r>
      <rPr>
        <b/>
        <vertAlign val="subscript"/>
        <sz val="10"/>
        <color theme="0"/>
        <rFont val="Calibri"/>
        <family val="2"/>
        <scheme val="minor"/>
      </rPr>
      <t>L</t>
    </r>
    <r>
      <rPr>
        <sz val="10"/>
        <color theme="0"/>
        <rFont val="Calibri"/>
        <family val="2"/>
        <scheme val="minor"/>
      </rPr>
      <t xml:space="preserve">
(Default = 0.7)</t>
    </r>
  </si>
  <si>
    <r>
      <t>Irrigation Adjustment Credit
(L/ft</t>
    </r>
    <r>
      <rPr>
        <vertAlign val="superscript"/>
        <sz val="10"/>
        <color theme="0"/>
        <rFont val="Calibri"/>
        <family val="2"/>
        <scheme val="minor"/>
      </rPr>
      <t>2</t>
    </r>
    <r>
      <rPr>
        <sz val="10"/>
        <color theme="0"/>
        <rFont val="Calibri"/>
        <family val="2"/>
        <scheme val="minor"/>
      </rPr>
      <t>)
(+ve = credit)</t>
    </r>
  </si>
  <si>
    <r>
      <t>Occupant density
(ppl/1,000ft</t>
    </r>
    <r>
      <rPr>
        <vertAlign val="superscript"/>
        <sz val="10"/>
        <color theme="0"/>
        <rFont val="Calibri"/>
        <family val="2"/>
        <scheme val="minor"/>
      </rPr>
      <t>2</t>
    </r>
    <r>
      <rPr>
        <sz val="10"/>
        <color theme="0"/>
        <rFont val="Calibri"/>
        <family val="2"/>
        <scheme val="minor"/>
      </rPr>
      <t>)</t>
    </r>
  </si>
  <si>
    <t>Average Vacancy (%):</t>
  </si>
  <si>
    <r>
      <t>Normalized Occupant Density (occ/1000 ft</t>
    </r>
    <r>
      <rPr>
        <vertAlign val="superscript"/>
        <sz val="10"/>
        <color indexed="8"/>
        <rFont val="Calibri"/>
        <family val="2"/>
        <scheme val="minor"/>
      </rPr>
      <t>2</t>
    </r>
    <r>
      <rPr>
        <sz val="10"/>
        <color indexed="8"/>
        <rFont val="Calibri"/>
        <family val="2"/>
        <scheme val="minor"/>
      </rPr>
      <t xml:space="preserve"> of GFA) </t>
    </r>
  </si>
  <si>
    <t>Not affected by External Factors</t>
  </si>
  <si>
    <t>Dependent on CDDs</t>
  </si>
  <si>
    <t>Dependent on People</t>
  </si>
  <si>
    <t>Totals</t>
  </si>
  <si>
    <t>Kirchen Use</t>
  </si>
  <si>
    <r>
      <t>Area (ft</t>
    </r>
    <r>
      <rPr>
        <b/>
        <vertAlign val="superscript"/>
        <sz val="10"/>
        <color theme="0"/>
        <rFont val="Calibri"/>
        <family val="2"/>
        <scheme val="minor"/>
      </rPr>
      <t>2</t>
    </r>
    <r>
      <rPr>
        <b/>
        <sz val="11"/>
        <color theme="0"/>
        <rFont val="Arial"/>
        <family val="2"/>
      </rPr>
      <t>)</t>
    </r>
  </si>
  <si>
    <t xml:space="preserve">Exceptional Use - Office </t>
  </si>
  <si>
    <t>Totals, office</t>
  </si>
  <si>
    <t>Retail space #2</t>
  </si>
  <si>
    <t>Totals, non-office</t>
  </si>
  <si>
    <t>Retail space #3</t>
  </si>
  <si>
    <t>Annual Water Consumption</t>
  </si>
  <si>
    <t>Water</t>
  </si>
  <si>
    <t>Units</t>
  </si>
  <si>
    <t>Consumption
(L)</t>
  </si>
  <si>
    <t>Calculation Step 2: Calculate Adjusted WUI (adjust for Irrigation and Exceptional Use)</t>
  </si>
  <si>
    <t>Total Exceptional Use - Office</t>
  </si>
  <si>
    <r>
      <t>GFA
(ft</t>
    </r>
    <r>
      <rPr>
        <b/>
        <vertAlign val="superscript"/>
        <sz val="10"/>
        <color theme="0"/>
        <rFont val="Calibri"/>
        <family val="2"/>
        <scheme val="minor"/>
      </rPr>
      <t>2</t>
    </r>
    <r>
      <rPr>
        <b/>
        <sz val="10"/>
        <color theme="0"/>
        <rFont val="Calibri"/>
        <family val="2"/>
        <scheme val="minor"/>
      </rPr>
      <t>)</t>
    </r>
  </si>
  <si>
    <t>Calculation of Exceptional Use -Retail adjustment</t>
  </si>
  <si>
    <t>Total Exceptional Use - Retail</t>
  </si>
  <si>
    <r>
      <t>Resultant GFA
(ft</t>
    </r>
    <r>
      <rPr>
        <b/>
        <vertAlign val="superscript"/>
        <sz val="10"/>
        <color theme="0"/>
        <rFont val="Calibri"/>
        <family val="2"/>
        <scheme val="minor"/>
      </rPr>
      <t>2</t>
    </r>
    <r>
      <rPr>
        <b/>
        <sz val="10"/>
        <color theme="0"/>
        <rFont val="Calibri"/>
        <family val="2"/>
        <scheme val="minor"/>
      </rPr>
      <t>)</t>
    </r>
  </si>
  <si>
    <r>
      <t xml:space="preserve"> Exceptional Use - Office adjustment
(L/ft</t>
    </r>
    <r>
      <rPr>
        <b/>
        <vertAlign val="superscript"/>
        <sz val="10"/>
        <color theme="0"/>
        <rFont val="Calibri"/>
        <family val="2"/>
        <scheme val="minor"/>
      </rPr>
      <t>2</t>
    </r>
    <r>
      <rPr>
        <b/>
        <sz val="10"/>
        <color theme="0"/>
        <rFont val="Calibri"/>
        <family val="2"/>
        <scheme val="minor"/>
      </rPr>
      <t>)
(+ve = credit)</t>
    </r>
  </si>
  <si>
    <r>
      <t>ft</t>
    </r>
    <r>
      <rPr>
        <b/>
        <vertAlign val="superscript"/>
        <sz val="10"/>
        <color theme="0"/>
        <rFont val="Calibri"/>
        <family val="2"/>
        <scheme val="minor"/>
      </rPr>
      <t>2</t>
    </r>
  </si>
  <si>
    <r>
      <t>EUI
(L/ft</t>
    </r>
    <r>
      <rPr>
        <b/>
        <vertAlign val="superscript"/>
        <sz val="10"/>
        <color theme="0"/>
        <rFont val="Calibri"/>
        <family val="2"/>
        <scheme val="minor"/>
      </rPr>
      <t>2</t>
    </r>
    <r>
      <rPr>
        <b/>
        <sz val="10"/>
        <color theme="0"/>
        <rFont val="Calibri"/>
        <family val="2"/>
        <scheme val="minor"/>
      </rPr>
      <t>)</t>
    </r>
  </si>
  <si>
    <t>Exceptional Use WUI &gt; Actual WUI?
(Y/N)</t>
  </si>
  <si>
    <t>Resultant Building Energy Use
(L)</t>
  </si>
  <si>
    <t>Calculation of Exceptional Use - Office adjustment</t>
  </si>
  <si>
    <t>Model WUI Parameter Matrix</t>
  </si>
  <si>
    <r>
      <t>Leased Space (L/ft</t>
    </r>
    <r>
      <rPr>
        <b/>
        <vertAlign val="superscript"/>
        <sz val="10"/>
        <color theme="0"/>
        <rFont val="Calibri"/>
        <family val="2"/>
        <scheme val="minor"/>
      </rPr>
      <t>2</t>
    </r>
    <r>
      <rPr>
        <b/>
        <sz val="10"/>
        <color theme="0"/>
        <rFont val="Calibri"/>
        <family val="2"/>
        <scheme val="minor"/>
      </rPr>
      <t>)</t>
    </r>
  </si>
  <si>
    <t>Occupancy Status</t>
  </si>
  <si>
    <t>Standard Weather Year</t>
  </si>
  <si>
    <t>Site</t>
  </si>
  <si>
    <t>Leased</t>
  </si>
  <si>
    <t>Vacant</t>
  </si>
  <si>
    <r>
      <t>Model WUI weighting
(L/ft</t>
    </r>
    <r>
      <rPr>
        <b/>
        <vertAlign val="superscript"/>
        <sz val="10"/>
        <color theme="0"/>
        <rFont val="Calibri"/>
        <family val="2"/>
        <scheme val="minor"/>
      </rPr>
      <t>2</t>
    </r>
    <r>
      <rPr>
        <b/>
        <sz val="10"/>
        <color theme="0"/>
        <rFont val="Calibri"/>
        <family val="2"/>
        <scheme val="minor"/>
      </rPr>
      <t>)</t>
    </r>
  </si>
  <si>
    <t>Occ. Dens.
(adjusted for vacancy) (ppl/1,000sqft)</t>
  </si>
  <si>
    <t>Adjustment limits
(% of load)</t>
  </si>
  <si>
    <t>Reported hours</t>
  </si>
  <si>
    <t>value</t>
  </si>
  <si>
    <t>adjustment factor</t>
  </si>
  <si>
    <t>min.</t>
  </si>
  <si>
    <t>max.</t>
  </si>
  <si>
    <t>Total, People Dependent adjusted</t>
  </si>
  <si>
    <t>Average vacancy:</t>
  </si>
  <si>
    <t>Weighted</t>
  </si>
  <si>
    <t>People Dependent</t>
  </si>
  <si>
    <r>
      <t>Calculation Steps 3 and 4:  Calculate Adjusted Model WUI, n</t>
    </r>
    <r>
      <rPr>
        <b/>
        <vertAlign val="subscript"/>
        <sz val="18"/>
        <color theme="0"/>
        <rFont val="Calibri"/>
        <family val="2"/>
        <scheme val="minor"/>
      </rPr>
      <t>f</t>
    </r>
  </si>
  <si>
    <t>Data centre cooling</t>
  </si>
  <si>
    <t>Net Exceptional Use  - Office
(L)</t>
  </si>
  <si>
    <t>People-dependent water to be added back
(L)</t>
  </si>
  <si>
    <r>
      <t xml:space="preserve"> Exceptional Use - Retail adjustment
(L/ft</t>
    </r>
    <r>
      <rPr>
        <b/>
        <vertAlign val="superscript"/>
        <sz val="10"/>
        <color theme="0"/>
        <rFont val="Calibri"/>
        <family val="2"/>
        <scheme val="minor"/>
      </rPr>
      <t>2</t>
    </r>
    <r>
      <rPr>
        <b/>
        <sz val="10"/>
        <color theme="0"/>
        <rFont val="Calibri"/>
        <family val="2"/>
        <scheme val="minor"/>
      </rPr>
      <t>)
(+ve = credit)</t>
    </r>
  </si>
  <si>
    <r>
      <t>Actual WUI, adjusted for Irrigation, office
(L/ft</t>
    </r>
    <r>
      <rPr>
        <b/>
        <vertAlign val="superscript"/>
        <sz val="10"/>
        <color theme="0"/>
        <rFont val="Calibri"/>
        <family val="2"/>
        <scheme val="minor"/>
      </rPr>
      <t>2</t>
    </r>
    <r>
      <rPr>
        <b/>
        <sz val="10"/>
        <color theme="0"/>
        <rFont val="Calibri"/>
        <family val="2"/>
        <scheme val="minor"/>
      </rPr>
      <t>)</t>
    </r>
  </si>
  <si>
    <t>Component of Model WUI</t>
  </si>
  <si>
    <r>
      <t>Adjusted Model WUI weighting
(L/ft</t>
    </r>
    <r>
      <rPr>
        <b/>
        <vertAlign val="superscript"/>
        <sz val="10"/>
        <color theme="0"/>
        <rFont val="Calibri"/>
        <family val="2"/>
        <scheme val="minor"/>
      </rPr>
      <t>2</t>
    </r>
    <r>
      <rPr>
        <b/>
        <sz val="10"/>
        <color theme="0"/>
        <rFont val="Calibri"/>
        <family val="2"/>
        <scheme val="minor"/>
      </rPr>
      <t>)</t>
    </r>
  </si>
  <si>
    <r>
      <t>People Dependent Load
(L/ft</t>
    </r>
    <r>
      <rPr>
        <b/>
        <vertAlign val="superscript"/>
        <sz val="11"/>
        <color theme="0"/>
        <rFont val="Arial"/>
        <family val="2"/>
      </rPr>
      <t>2</t>
    </r>
    <r>
      <rPr>
        <b/>
        <sz val="11"/>
        <color theme="0"/>
        <rFont val="Arial"/>
        <family val="2"/>
      </rPr>
      <t>)</t>
    </r>
  </si>
  <si>
    <r>
      <t>People Dependent Load, adjusted for occupants
(L/ft</t>
    </r>
    <r>
      <rPr>
        <b/>
        <vertAlign val="superscript"/>
        <sz val="10"/>
        <color theme="0"/>
        <rFont val="Calibri"/>
        <family val="2"/>
        <scheme val="minor"/>
      </rPr>
      <t>2</t>
    </r>
    <r>
      <rPr>
        <b/>
        <sz val="10"/>
        <color theme="0"/>
        <rFont val="Calibri"/>
        <family val="2"/>
        <scheme val="minor"/>
      </rPr>
      <t>)</t>
    </r>
  </si>
  <si>
    <r>
      <t>Adjusted People Dependent Load
(L/ft</t>
    </r>
    <r>
      <rPr>
        <b/>
        <vertAlign val="superscript"/>
        <sz val="11"/>
        <color theme="0"/>
        <rFont val="Arial"/>
        <family val="2"/>
      </rPr>
      <t>2</t>
    </r>
    <r>
      <rPr>
        <b/>
        <sz val="11"/>
        <color theme="0"/>
        <rFont val="Arial"/>
        <family val="2"/>
      </rPr>
      <t>)</t>
    </r>
  </si>
  <si>
    <t>Adjusted Model WUI</t>
  </si>
  <si>
    <t>Annual Heating Degree Days (HDD)</t>
  </si>
  <si>
    <t>HDD</t>
  </si>
  <si>
    <t>Dependent on HDDs</t>
  </si>
  <si>
    <t>Humidification</t>
  </si>
  <si>
    <t>Variable</t>
  </si>
  <si>
    <t>HDD Dependent</t>
  </si>
  <si>
    <r>
      <t>Vacant Space (L/ft</t>
    </r>
    <r>
      <rPr>
        <b/>
        <vertAlign val="superscript"/>
        <sz val="10"/>
        <color theme="0"/>
        <rFont val="Calibri"/>
        <family val="2"/>
        <scheme val="minor"/>
      </rPr>
      <t>2</t>
    </r>
    <r>
      <rPr>
        <b/>
        <sz val="10"/>
        <color theme="0"/>
        <rFont val="Calibri"/>
        <family val="2"/>
        <scheme val="minor"/>
      </rPr>
      <t>)</t>
    </r>
  </si>
  <si>
    <t>Resultant WUI 
(ekWh/ft2)</t>
  </si>
  <si>
    <t>Retail Space #1</t>
  </si>
  <si>
    <t>Exceptional Use - Non-office</t>
  </si>
  <si>
    <t>REALPAC Normalized Water Use Intensity (NWUI) Tool: Commercial Office Buildings</t>
  </si>
  <si>
    <t>NWUI</t>
  </si>
  <si>
    <t>(nf x Adjusted WUI)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</si>
</sst>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00"/>
    <numFmt numFmtId="167" formatCode="0.000"/>
    <numFmt numFmtId="168" formatCode="0.0%"/>
  </numFmts>
  <fonts count="56" x14ac:knownFonts="1">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8"/>
      <name val="Calibri"/>
      <family val="2"/>
      <scheme val="minor"/>
    </font>
    <font>
      <sz val="10"/>
      <color indexed="8"/>
      <name val="Calibri"/>
      <family val="2"/>
      <scheme val="minor"/>
    </font>
    <font>
      <b/>
      <sz val="14"/>
      <color rgb="FF002060"/>
      <name val="Calibri"/>
      <family val="2"/>
      <scheme val="minor"/>
    </font>
    <font>
      <b/>
      <sz val="10"/>
      <color indexed="8"/>
      <name val="Calibri"/>
      <family val="2"/>
      <scheme val="minor"/>
    </font>
    <font>
      <sz val="8"/>
      <color indexed="8"/>
      <name val="Calibri"/>
      <family val="2"/>
      <scheme val="minor"/>
    </font>
    <font>
      <b/>
      <sz val="9"/>
      <color theme="1"/>
      <name val="Calibri"/>
      <family val="2"/>
      <scheme val="minor"/>
    </font>
    <font>
      <sz val="10"/>
      <name val="Calibri"/>
      <family val="2"/>
      <scheme val="minor"/>
    </font>
    <font>
      <vertAlign val="superscript"/>
      <sz val="10"/>
      <color indexed="8"/>
      <name val="Calibri"/>
      <family val="2"/>
      <scheme val="minor"/>
    </font>
    <font>
      <b/>
      <sz val="9"/>
      <color indexed="8"/>
      <name val="Calibri"/>
      <family val="2"/>
      <scheme val="minor"/>
    </font>
    <font>
      <sz val="10"/>
      <color indexed="8"/>
      <name val="Calibri"/>
      <family val="2"/>
    </font>
    <font>
      <b/>
      <sz val="10"/>
      <color theme="1"/>
      <name val="Calibri"/>
      <family val="2"/>
      <scheme val="minor"/>
    </font>
    <font>
      <sz val="10"/>
      <color theme="1"/>
      <name val="Calibri"/>
      <family val="2"/>
    </font>
    <font>
      <sz val="11"/>
      <color rgb="FF006100"/>
      <name val="Calibri"/>
      <family val="2"/>
      <scheme val="minor"/>
    </font>
    <font>
      <b/>
      <sz val="12"/>
      <color theme="1"/>
      <name val="Calibri"/>
      <family val="2"/>
      <scheme val="minor"/>
    </font>
    <font>
      <sz val="11"/>
      <name val="Calibri"/>
      <family val="2"/>
      <scheme val="minor"/>
    </font>
    <font>
      <vertAlign val="superscript"/>
      <sz val="10"/>
      <color rgb="FF000000"/>
      <name val="Calibri"/>
      <family val="2"/>
      <scheme val="minor"/>
    </font>
    <font>
      <sz val="8.5"/>
      <color indexed="8"/>
      <name val="Calibri"/>
      <family val="2"/>
    </font>
    <font>
      <b/>
      <sz val="11"/>
      <color theme="0"/>
      <name val="Arial"/>
      <family val="2"/>
    </font>
    <font>
      <sz val="8"/>
      <color theme="0"/>
      <name val="Calibri"/>
      <family val="2"/>
      <scheme val="minor"/>
    </font>
    <font>
      <b/>
      <sz val="10"/>
      <color theme="0"/>
      <name val="Arial"/>
      <family val="2"/>
    </font>
    <font>
      <vertAlign val="superscript"/>
      <sz val="10"/>
      <color theme="0"/>
      <name val="Calibri"/>
      <family val="2"/>
      <scheme val="minor"/>
    </font>
    <font>
      <sz val="10"/>
      <color theme="0"/>
      <name val="Calibri"/>
      <family val="2"/>
      <scheme val="minor"/>
    </font>
    <font>
      <b/>
      <sz val="12"/>
      <color theme="0"/>
      <name val="Calibri"/>
      <family val="2"/>
      <scheme val="minor"/>
    </font>
    <font>
      <b/>
      <sz val="10"/>
      <color indexed="8"/>
      <name val="Calibri"/>
      <family val="2"/>
    </font>
    <font>
      <b/>
      <i/>
      <sz val="11"/>
      <color theme="1"/>
      <name val="Calibri"/>
      <family val="2"/>
      <scheme val="minor"/>
    </font>
    <font>
      <b/>
      <vertAlign val="superscript"/>
      <sz val="11"/>
      <color theme="0"/>
      <name val="Arial"/>
      <family val="2"/>
    </font>
    <font>
      <b/>
      <sz val="36"/>
      <name val="Calibri"/>
      <family val="2"/>
      <scheme val="minor"/>
    </font>
    <font>
      <b/>
      <sz val="26"/>
      <name val="Calibri"/>
      <family val="2"/>
      <scheme val="minor"/>
    </font>
    <font>
      <b/>
      <sz val="18"/>
      <color theme="0"/>
      <name val="Calibri"/>
      <family val="2"/>
      <scheme val="minor"/>
    </font>
    <font>
      <vertAlign val="superscript"/>
      <sz val="10"/>
      <color theme="1"/>
      <name val="Calibri"/>
      <family val="2"/>
    </font>
    <font>
      <b/>
      <sz val="16"/>
      <name val="Calibri"/>
      <family val="2"/>
      <scheme val="minor"/>
    </font>
    <font>
      <b/>
      <sz val="10"/>
      <color rgb="FFFF0000"/>
      <name val="Calibri"/>
      <family val="2"/>
      <scheme val="minor"/>
    </font>
    <font>
      <b/>
      <sz val="10"/>
      <name val="Calibri"/>
      <family val="2"/>
      <scheme val="minor"/>
    </font>
    <font>
      <sz val="11"/>
      <color indexed="8"/>
      <name val="Calibri"/>
      <family val="2"/>
      <scheme val="minor"/>
    </font>
    <font>
      <b/>
      <u/>
      <sz val="11"/>
      <color theme="4" tint="-0.249977111117893"/>
      <name val="Calibri"/>
      <family val="2"/>
      <scheme val="minor"/>
    </font>
    <font>
      <b/>
      <sz val="9"/>
      <color theme="0"/>
      <name val="Arial"/>
      <family val="2"/>
    </font>
    <font>
      <i/>
      <sz val="11"/>
      <color theme="1"/>
      <name val="Calibri"/>
      <family val="2"/>
      <scheme val="minor"/>
    </font>
    <font>
      <b/>
      <sz val="16"/>
      <color theme="1"/>
      <name val="Calibri"/>
      <family val="2"/>
      <scheme val="minor"/>
    </font>
    <font>
      <b/>
      <u/>
      <sz val="12"/>
      <color indexed="8"/>
      <name val="Calibri"/>
      <family val="2"/>
      <scheme val="minor"/>
    </font>
    <font>
      <b/>
      <sz val="11"/>
      <color rgb="FF0070C0"/>
      <name val="Calibri"/>
      <family val="2"/>
      <scheme val="minor"/>
    </font>
    <font>
      <b/>
      <vertAlign val="subscript"/>
      <sz val="18"/>
      <color theme="0"/>
      <name val="Calibri"/>
      <family val="2"/>
      <scheme val="minor"/>
    </font>
    <font>
      <vertAlign val="subscript"/>
      <sz val="11"/>
      <color theme="1"/>
      <name val="Calibri"/>
      <family val="2"/>
      <scheme val="minor"/>
    </font>
    <font>
      <sz val="12"/>
      <color theme="1"/>
      <name val="Calibri"/>
      <family val="2"/>
      <scheme val="minor"/>
    </font>
    <font>
      <sz val="11"/>
      <color theme="1"/>
      <name val="Calibri"/>
      <family val="2"/>
      <scheme val="minor"/>
    </font>
    <font>
      <b/>
      <sz val="10"/>
      <color theme="0"/>
      <name val="Calibri"/>
      <family val="2"/>
      <scheme val="minor"/>
    </font>
    <font>
      <b/>
      <vertAlign val="subscript"/>
      <sz val="10"/>
      <color theme="0"/>
      <name val="Calibri"/>
      <family val="2"/>
      <scheme val="minor"/>
    </font>
    <font>
      <b/>
      <vertAlign val="superscript"/>
      <sz val="10"/>
      <color theme="0"/>
      <name val="Calibri"/>
      <family val="2"/>
      <scheme val="minor"/>
    </font>
    <font>
      <b/>
      <sz val="12"/>
      <color indexed="8"/>
      <name val="Calibri"/>
      <family val="2"/>
      <scheme val="minor"/>
    </font>
    <font>
      <sz val="10"/>
      <color rgb="FF444444"/>
      <name val="Calibri"/>
      <family val="2"/>
      <scheme val="minor"/>
    </font>
    <font>
      <b/>
      <sz val="10"/>
      <color rgb="FF444444"/>
      <name val="Calibri"/>
      <family val="2"/>
      <scheme val="minor"/>
    </font>
    <font>
      <b/>
      <sz val="11"/>
      <name val="Calibri"/>
      <family val="2"/>
      <scheme val="minor"/>
    </font>
    <font>
      <b/>
      <sz val="11"/>
      <color indexed="8"/>
      <name val="Calibri"/>
      <family val="2"/>
    </font>
  </fonts>
  <fills count="12">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CCFFCC"/>
        <bgColor indexed="64"/>
      </patternFill>
    </fill>
    <fill>
      <patternFill patternType="solid">
        <fgColor rgb="FF00A3D8"/>
        <bgColor indexed="64"/>
      </patternFill>
    </fill>
    <fill>
      <patternFill patternType="solid">
        <fgColor rgb="FFFFFFFF"/>
        <bgColor indexed="64"/>
      </patternFill>
    </fill>
    <fill>
      <patternFill patternType="solid">
        <fgColor theme="0" tint="-0.499984740745262"/>
        <bgColor indexed="64"/>
      </patternFill>
    </fill>
    <fill>
      <patternFill patternType="solid">
        <fgColor rgb="FFCCFFFF"/>
        <bgColor indexed="64"/>
      </patternFill>
    </fill>
    <fill>
      <patternFill patternType="solid">
        <fgColor rgb="FF0070C0"/>
        <bgColor indexed="64"/>
      </patternFill>
    </fill>
    <fill>
      <patternFill patternType="solid">
        <fgColor theme="0"/>
        <bgColor indexed="64"/>
      </patternFill>
    </fill>
    <fill>
      <patternFill patternType="solid">
        <fgColor rgb="FFFFFF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16" fillId="3" borderId="0" applyNumberFormat="0" applyBorder="0" applyAlignment="0" applyProtection="0"/>
    <xf numFmtId="9" fontId="47" fillId="0" borderId="0" applyFont="0" applyFill="0" applyBorder="0" applyAlignment="0" applyProtection="0"/>
  </cellStyleXfs>
  <cellXfs count="287">
    <xf numFmtId="0" fontId="0" fillId="0" borderId="0" xfId="0"/>
    <xf numFmtId="0" fontId="0" fillId="0" borderId="0" xfId="0" applyFont="1" applyProtection="1"/>
    <xf numFmtId="0" fontId="3" fillId="0" borderId="0" xfId="0" applyFont="1" applyProtection="1"/>
    <xf numFmtId="0" fontId="5" fillId="0" borderId="0" xfId="0" applyFont="1" applyProtection="1"/>
    <xf numFmtId="0" fontId="7" fillId="0" borderId="0" xfId="0" applyFont="1" applyProtection="1"/>
    <xf numFmtId="0" fontId="5" fillId="0" borderId="1" xfId="0" applyFont="1" applyBorder="1" applyAlignment="1" applyProtection="1">
      <alignment horizontal="center"/>
    </xf>
    <xf numFmtId="0" fontId="2" fillId="0" borderId="0" xfId="0" applyFont="1"/>
    <xf numFmtId="0" fontId="5" fillId="0" borderId="1" xfId="0" applyFont="1" applyFill="1" applyBorder="1" applyAlignment="1" applyProtection="1">
      <alignment horizontal="left" indent="1"/>
    </xf>
    <xf numFmtId="0" fontId="5" fillId="0" borderId="1" xfId="0" applyFont="1" applyBorder="1" applyProtection="1"/>
    <xf numFmtId="0" fontId="0" fillId="0" borderId="1" xfId="0" applyBorder="1" applyAlignment="1">
      <alignment horizontal="left" indent="1"/>
    </xf>
    <xf numFmtId="0" fontId="30" fillId="0" borderId="0" xfId="0" applyFont="1" applyAlignment="1" applyProtection="1">
      <alignment vertical="center"/>
      <protection locked="0"/>
    </xf>
    <xf numFmtId="0" fontId="42" fillId="0" borderId="0" xfId="0" applyFont="1" applyAlignment="1">
      <alignment horizontal="center"/>
    </xf>
    <xf numFmtId="0" fontId="43" fillId="0" borderId="0" xfId="0" applyFont="1" applyAlignment="1">
      <alignment horizontal="center"/>
    </xf>
    <xf numFmtId="2" fontId="5" fillId="4" borderId="1" xfId="0" applyNumberFormat="1" applyFont="1" applyFill="1" applyBorder="1" applyAlignment="1" applyProtection="1">
      <alignment horizontal="center"/>
    </xf>
    <xf numFmtId="0" fontId="3" fillId="4" borderId="1" xfId="0" applyFont="1" applyFill="1" applyBorder="1" applyAlignment="1">
      <alignment horizontal="center" vertical="center"/>
    </xf>
    <xf numFmtId="17" fontId="23" fillId="5" borderId="1" xfId="0" applyNumberFormat="1" applyFont="1" applyFill="1" applyBorder="1" applyAlignment="1">
      <alignment horizontal="center" vertical="center" wrapText="1"/>
    </xf>
    <xf numFmtId="17" fontId="23" fillId="5" borderId="1" xfId="0" applyNumberFormat="1" applyFont="1" applyFill="1" applyBorder="1" applyAlignment="1">
      <alignment horizontal="center" vertical="center"/>
    </xf>
    <xf numFmtId="2" fontId="3" fillId="4" borderId="1" xfId="0" applyNumberFormat="1" applyFont="1" applyFill="1" applyBorder="1" applyAlignment="1">
      <alignment horizontal="center" vertical="center"/>
    </xf>
    <xf numFmtId="0" fontId="0" fillId="0" borderId="0" xfId="0" applyProtection="1">
      <protection hidden="1"/>
    </xf>
    <xf numFmtId="0" fontId="5" fillId="0" borderId="0" xfId="0" applyFont="1" applyProtection="1">
      <protection hidden="1"/>
    </xf>
    <xf numFmtId="165" fontId="5" fillId="0" borderId="1" xfId="0" applyNumberFormat="1" applyFont="1" applyFill="1" applyBorder="1" applyAlignment="1" applyProtection="1">
      <alignment horizontal="center"/>
      <protection hidden="1"/>
    </xf>
    <xf numFmtId="4" fontId="5" fillId="0" borderId="1" xfId="0" applyNumberFormat="1" applyFont="1" applyBorder="1" applyAlignment="1" applyProtection="1">
      <alignment horizontal="center"/>
      <protection hidden="1"/>
    </xf>
    <xf numFmtId="1" fontId="5" fillId="0" borderId="1" xfId="0" applyNumberFormat="1" applyFont="1" applyFill="1" applyBorder="1" applyAlignment="1" applyProtection="1">
      <alignment horizontal="center"/>
      <protection hidden="1"/>
    </xf>
    <xf numFmtId="0" fontId="5" fillId="0" borderId="1" xfId="0" applyFont="1" applyFill="1" applyBorder="1" applyAlignment="1" applyProtection="1">
      <alignment horizontal="center"/>
      <protection hidden="1"/>
    </xf>
    <xf numFmtId="165" fontId="5" fillId="0" borderId="5" xfId="0" applyNumberFormat="1" applyFont="1" applyFill="1" applyBorder="1" applyAlignment="1" applyProtection="1">
      <alignment horizontal="right"/>
      <protection hidden="1"/>
    </xf>
    <xf numFmtId="0" fontId="5" fillId="0" borderId="2" xfId="0" applyFont="1" applyFill="1" applyBorder="1" applyAlignment="1" applyProtection="1">
      <alignment horizontal="center"/>
      <protection hidden="1"/>
    </xf>
    <xf numFmtId="165" fontId="7" fillId="0" borderId="1" xfId="0" applyNumberFormat="1" applyFont="1" applyBorder="1" applyProtection="1">
      <protection hidden="1"/>
    </xf>
    <xf numFmtId="165" fontId="7" fillId="0" borderId="6" xfId="0" applyNumberFormat="1" applyFont="1" applyBorder="1" applyProtection="1">
      <protection hidden="1"/>
    </xf>
    <xf numFmtId="2" fontId="7" fillId="0" borderId="1" xfId="0" applyNumberFormat="1" applyFont="1" applyFill="1" applyBorder="1" applyAlignment="1" applyProtection="1">
      <alignment horizontal="center" vertical="center"/>
      <protection hidden="1"/>
    </xf>
    <xf numFmtId="0" fontId="0" fillId="0" borderId="0" xfId="0" applyFont="1" applyProtection="1">
      <protection hidden="1"/>
    </xf>
    <xf numFmtId="3" fontId="5" fillId="0" borderId="1" xfId="0" applyNumberFormat="1" applyFont="1" applyFill="1" applyBorder="1" applyAlignment="1" applyProtection="1">
      <alignment horizontal="center"/>
      <protection hidden="1"/>
    </xf>
    <xf numFmtId="3" fontId="13" fillId="0" borderId="1" xfId="0" applyNumberFormat="1" applyFont="1" applyBorder="1" applyAlignment="1" applyProtection="1">
      <alignment horizontal="center"/>
      <protection hidden="1"/>
    </xf>
    <xf numFmtId="3" fontId="5" fillId="0" borderId="1" xfId="0" applyNumberFormat="1" applyFont="1" applyBorder="1" applyAlignment="1" applyProtection="1">
      <alignment horizontal="center"/>
      <protection hidden="1"/>
    </xf>
    <xf numFmtId="2" fontId="37" fillId="2" borderId="1" xfId="0" applyNumberFormat="1" applyFont="1" applyFill="1" applyBorder="1" applyAlignment="1" applyProtection="1">
      <alignment horizontal="center"/>
      <protection hidden="1"/>
    </xf>
    <xf numFmtId="3" fontId="13" fillId="8" borderId="1" xfId="0" applyNumberFormat="1" applyFont="1" applyFill="1" applyBorder="1" applyAlignment="1" applyProtection="1">
      <alignment horizontal="center"/>
      <protection hidden="1"/>
    </xf>
    <xf numFmtId="164" fontId="3" fillId="8" borderId="2" xfId="0" applyNumberFormat="1" applyFont="1" applyFill="1" applyBorder="1" applyAlignment="1" applyProtection="1">
      <alignment horizontal="center"/>
      <protection hidden="1"/>
    </xf>
    <xf numFmtId="1" fontId="3" fillId="8" borderId="2" xfId="0" applyNumberFormat="1" applyFont="1" applyFill="1" applyBorder="1" applyAlignment="1" applyProtection="1">
      <alignment horizontal="center"/>
      <protection hidden="1"/>
    </xf>
    <xf numFmtId="0" fontId="3" fillId="8" borderId="2" xfId="0" applyFont="1" applyFill="1" applyBorder="1" applyAlignment="1" applyProtection="1">
      <alignment horizontal="center" vertical="center"/>
      <protection hidden="1"/>
    </xf>
    <xf numFmtId="0" fontId="3" fillId="4" borderId="1" xfId="0" applyFont="1" applyFill="1" applyBorder="1" applyAlignment="1" applyProtection="1">
      <alignment horizontal="center"/>
      <protection hidden="1"/>
    </xf>
    <xf numFmtId="2" fontId="3" fillId="8" borderId="2" xfId="0" applyNumberFormat="1" applyFont="1" applyFill="1" applyBorder="1" applyAlignment="1" applyProtection="1">
      <alignment horizontal="center"/>
      <protection hidden="1"/>
    </xf>
    <xf numFmtId="3" fontId="3" fillId="8" borderId="2" xfId="0" applyNumberFormat="1" applyFont="1" applyFill="1" applyBorder="1" applyAlignment="1" applyProtection="1">
      <alignment horizontal="center"/>
      <protection hidden="1"/>
    </xf>
    <xf numFmtId="4" fontId="7" fillId="0" borderId="1" xfId="0" applyNumberFormat="1" applyFont="1" applyFill="1" applyBorder="1" applyAlignment="1" applyProtection="1">
      <alignment horizontal="center"/>
      <protection hidden="1"/>
    </xf>
    <xf numFmtId="3" fontId="13" fillId="8" borderId="2" xfId="0" applyNumberFormat="1" applyFont="1" applyFill="1" applyBorder="1" applyAlignment="1" applyProtection="1">
      <alignment horizontal="center" vertical="center"/>
      <protection hidden="1"/>
    </xf>
    <xf numFmtId="3" fontId="5" fillId="8" borderId="1" xfId="0" applyNumberFormat="1" applyFont="1" applyFill="1" applyBorder="1" applyAlignment="1" applyProtection="1">
      <alignment horizontal="center"/>
      <protection hidden="1"/>
    </xf>
    <xf numFmtId="4" fontId="7" fillId="10" borderId="1" xfId="0" applyNumberFormat="1" applyFont="1" applyFill="1" applyBorder="1" applyAlignment="1" applyProtection="1">
      <alignment horizontal="center"/>
      <protection hidden="1"/>
    </xf>
    <xf numFmtId="3" fontId="13" fillId="8" borderId="1" xfId="0" applyNumberFormat="1" applyFont="1" applyFill="1" applyBorder="1" applyAlignment="1" applyProtection="1">
      <alignment horizontal="center" vertical="center"/>
      <protection hidden="1"/>
    </xf>
    <xf numFmtId="165" fontId="13" fillId="8" borderId="12" xfId="0" applyNumberFormat="1" applyFont="1" applyFill="1" applyBorder="1" applyAlignment="1" applyProtection="1">
      <alignment horizontal="center" vertical="center"/>
      <protection hidden="1"/>
    </xf>
    <xf numFmtId="4" fontId="13" fillId="8" borderId="1" xfId="0" applyNumberFormat="1" applyFont="1" applyFill="1" applyBorder="1" applyAlignment="1" applyProtection="1">
      <alignment horizontal="center" vertical="center"/>
      <protection hidden="1"/>
    </xf>
    <xf numFmtId="0" fontId="5" fillId="8" borderId="1" xfId="0" applyFont="1" applyFill="1" applyBorder="1" applyAlignment="1" applyProtection="1">
      <alignment horizontal="center" vertical="center"/>
      <protection hidden="1"/>
    </xf>
    <xf numFmtId="3" fontId="5" fillId="8" borderId="1" xfId="0" applyNumberFormat="1" applyFont="1" applyFill="1" applyBorder="1" applyAlignment="1" applyProtection="1">
      <alignment horizontal="center" vertical="center"/>
      <protection hidden="1"/>
    </xf>
    <xf numFmtId="4" fontId="5" fillId="8" borderId="1" xfId="0" applyNumberFormat="1" applyFont="1" applyFill="1" applyBorder="1" applyAlignment="1" applyProtection="1">
      <alignment horizontal="center" vertical="center"/>
      <protection hidden="1"/>
    </xf>
    <xf numFmtId="4" fontId="7" fillId="10" borderId="1" xfId="0" applyNumberFormat="1" applyFont="1" applyFill="1" applyBorder="1" applyAlignment="1" applyProtection="1">
      <alignment horizontal="center" vertical="center"/>
      <protection hidden="1"/>
    </xf>
    <xf numFmtId="2" fontId="37" fillId="0" borderId="1" xfId="0" applyNumberFormat="1" applyFont="1" applyBorder="1" applyAlignment="1" applyProtection="1">
      <alignment horizontal="center"/>
      <protection hidden="1"/>
    </xf>
    <xf numFmtId="2" fontId="18" fillId="2" borderId="1" xfId="0" applyNumberFormat="1" applyFont="1" applyFill="1" applyBorder="1" applyAlignment="1" applyProtection="1">
      <alignment horizontal="center"/>
      <protection hidden="1"/>
    </xf>
    <xf numFmtId="165" fontId="13" fillId="0" borderId="2" xfId="0" applyNumberFormat="1" applyFont="1" applyBorder="1" applyAlignment="1" applyProtection="1">
      <alignment horizontal="center"/>
      <protection hidden="1"/>
    </xf>
    <xf numFmtId="4" fontId="13" fillId="0" borderId="1" xfId="0" applyNumberFormat="1" applyFont="1" applyBorder="1" applyAlignment="1" applyProtection="1">
      <alignment horizontal="center"/>
      <protection hidden="1"/>
    </xf>
    <xf numFmtId="2" fontId="53" fillId="0" borderId="1" xfId="0" applyNumberFormat="1" applyFont="1" applyBorder="1" applyAlignment="1" applyProtection="1">
      <alignment horizontal="center" vertical="center" wrapText="1"/>
      <protection hidden="1"/>
    </xf>
    <xf numFmtId="0" fontId="3" fillId="0" borderId="1" xfId="0" applyFont="1" applyBorder="1" applyProtection="1">
      <protection hidden="1"/>
    </xf>
    <xf numFmtId="2" fontId="36" fillId="2" borderId="1" xfId="0" applyNumberFormat="1" applyFont="1" applyFill="1" applyBorder="1" applyAlignment="1" applyProtection="1">
      <alignment horizontal="center" vertical="center" wrapText="1"/>
      <protection hidden="1"/>
    </xf>
    <xf numFmtId="0" fontId="3" fillId="0" borderId="1" xfId="0" applyFont="1" applyBorder="1" applyAlignment="1" applyProtection="1">
      <alignment horizontal="center"/>
      <protection hidden="1"/>
    </xf>
    <xf numFmtId="2" fontId="52" fillId="0" borderId="1" xfId="3" applyNumberFormat="1" applyFont="1" applyFill="1" applyBorder="1" applyAlignment="1" applyProtection="1">
      <alignment horizontal="center" vertical="center" wrapText="1"/>
      <protection hidden="1"/>
    </xf>
    <xf numFmtId="164" fontId="52" fillId="8" borderId="1" xfId="0" applyNumberFormat="1" applyFont="1" applyFill="1" applyBorder="1" applyAlignment="1" applyProtection="1">
      <alignment horizontal="center" vertical="center" wrapText="1"/>
      <protection hidden="1"/>
    </xf>
    <xf numFmtId="165" fontId="13" fillId="8" borderId="1" xfId="0" applyNumberFormat="1" applyFont="1" applyFill="1" applyBorder="1" applyAlignment="1" applyProtection="1">
      <alignment horizontal="center"/>
      <protection hidden="1"/>
    </xf>
    <xf numFmtId="2" fontId="7" fillId="11" borderId="1" xfId="0" applyNumberFormat="1" applyFont="1" applyFill="1" applyBorder="1" applyAlignment="1" applyProtection="1">
      <alignment horizontal="center"/>
      <protection hidden="1"/>
    </xf>
    <xf numFmtId="2" fontId="52" fillId="6" borderId="1" xfId="0" applyNumberFormat="1" applyFont="1" applyFill="1" applyBorder="1" applyAlignment="1" applyProtection="1">
      <alignment horizontal="center" vertical="center" wrapText="1"/>
      <protection hidden="1"/>
    </xf>
    <xf numFmtId="2" fontId="14" fillId="0" borderId="1" xfId="0" applyNumberFormat="1" applyFont="1" applyBorder="1" applyAlignment="1" applyProtection="1">
      <alignment horizontal="center"/>
      <protection hidden="1"/>
    </xf>
    <xf numFmtId="0" fontId="3" fillId="0" borderId="0" xfId="0" applyFont="1" applyAlignment="1" applyProtection="1">
      <alignment horizontal="right"/>
      <protection hidden="1"/>
    </xf>
    <xf numFmtId="2" fontId="14" fillId="2" borderId="1" xfId="0" applyNumberFormat="1" applyFont="1" applyFill="1" applyBorder="1" applyAlignment="1" applyProtection="1">
      <alignment horizontal="center"/>
      <protection hidden="1"/>
    </xf>
    <xf numFmtId="1" fontId="21" fillId="5" borderId="1" xfId="0" applyNumberFormat="1" applyFont="1" applyFill="1" applyBorder="1" applyAlignment="1" applyProtection="1">
      <alignment horizontal="center" vertical="center" wrapText="1"/>
      <protection hidden="1"/>
    </xf>
    <xf numFmtId="2" fontId="0" fillId="0" borderId="1" xfId="0" applyNumberFormat="1" applyBorder="1" applyAlignment="1" applyProtection="1">
      <alignment horizontal="center"/>
      <protection hidden="1"/>
    </xf>
    <xf numFmtId="2" fontId="0" fillId="0" borderId="1" xfId="0" applyNumberFormat="1" applyFont="1" applyBorder="1" applyAlignment="1" applyProtection="1">
      <alignment horizontal="center"/>
      <protection hidden="1"/>
    </xf>
    <xf numFmtId="0" fontId="37" fillId="0" borderId="1" xfId="0" applyFont="1" applyBorder="1" applyAlignment="1" applyProtection="1">
      <alignment horizontal="center"/>
      <protection hidden="1"/>
    </xf>
    <xf numFmtId="2" fontId="54" fillId="2" borderId="1" xfId="0" applyNumberFormat="1" applyFont="1" applyFill="1" applyBorder="1" applyAlignment="1" applyProtection="1">
      <alignment horizontal="center"/>
      <protection hidden="1"/>
    </xf>
    <xf numFmtId="166" fontId="55" fillId="2" borderId="1" xfId="0" applyNumberFormat="1" applyFont="1" applyFill="1" applyBorder="1" applyAlignment="1" applyProtection="1">
      <alignment horizontal="center"/>
      <protection hidden="1"/>
    </xf>
    <xf numFmtId="4" fontId="13" fillId="8" borderId="2" xfId="0" applyNumberFormat="1" applyFont="1" applyFill="1" applyBorder="1" applyAlignment="1" applyProtection="1">
      <alignment horizontal="center"/>
      <protection hidden="1"/>
    </xf>
    <xf numFmtId="2" fontId="27" fillId="0" borderId="1" xfId="0" applyNumberFormat="1" applyFont="1" applyFill="1" applyBorder="1" applyAlignment="1" applyProtection="1">
      <alignment horizontal="center"/>
      <protection hidden="1"/>
    </xf>
    <xf numFmtId="2" fontId="0" fillId="10" borderId="1" xfId="0" applyNumberFormat="1" applyFont="1" applyFill="1" applyBorder="1" applyAlignment="1" applyProtection="1">
      <alignment horizontal="center"/>
      <protection hidden="1"/>
    </xf>
    <xf numFmtId="167" fontId="0" fillId="10" borderId="1" xfId="0" applyNumberFormat="1" applyFont="1" applyFill="1" applyBorder="1" applyAlignment="1" applyProtection="1">
      <alignment horizontal="center"/>
      <protection hidden="1"/>
    </xf>
    <xf numFmtId="2" fontId="0" fillId="10" borderId="1" xfId="0" applyNumberFormat="1" applyFill="1" applyBorder="1" applyAlignment="1" applyProtection="1">
      <alignment horizontal="center"/>
      <protection hidden="1"/>
    </xf>
    <xf numFmtId="2" fontId="0" fillId="2" borderId="1" xfId="0" applyNumberFormat="1" applyFont="1" applyFill="1" applyBorder="1" applyAlignment="1" applyProtection="1">
      <alignment horizontal="center"/>
      <protection hidden="1"/>
    </xf>
    <xf numFmtId="1" fontId="21" fillId="5" borderId="5" xfId="0" applyNumberFormat="1" applyFont="1" applyFill="1" applyBorder="1" applyAlignment="1" applyProtection="1">
      <alignment horizontal="center" vertical="center"/>
      <protection hidden="1"/>
    </xf>
    <xf numFmtId="17" fontId="48" fillId="5" borderId="1" xfId="0" applyNumberFormat="1" applyFont="1" applyFill="1" applyBorder="1" applyAlignment="1" applyProtection="1">
      <alignment horizontal="center" vertical="center" wrapText="1"/>
      <protection hidden="1"/>
    </xf>
    <xf numFmtId="9" fontId="52" fillId="0" borderId="1" xfId="3" applyFont="1" applyFill="1" applyBorder="1" applyAlignment="1" applyProtection="1">
      <alignment horizontal="center" vertical="center" wrapText="1"/>
      <protection hidden="1"/>
    </xf>
    <xf numFmtId="2" fontId="52" fillId="0" borderId="1" xfId="0" applyNumberFormat="1" applyFont="1" applyBorder="1" applyAlignment="1" applyProtection="1">
      <alignment horizontal="center" vertical="center" wrapText="1"/>
      <protection hidden="1"/>
    </xf>
    <xf numFmtId="2" fontId="52" fillId="8" borderId="1" xfId="0" applyNumberFormat="1" applyFont="1" applyFill="1" applyBorder="1" applyAlignment="1" applyProtection="1">
      <alignment horizontal="center" vertical="center" wrapText="1"/>
      <protection hidden="1"/>
    </xf>
    <xf numFmtId="0" fontId="0" fillId="0" borderId="0" xfId="0" applyProtection="1">
      <protection locked="0"/>
    </xf>
    <xf numFmtId="0" fontId="0" fillId="0" borderId="0" xfId="0" applyFont="1" applyProtection="1">
      <protection locked="0"/>
    </xf>
    <xf numFmtId="0" fontId="5" fillId="0" borderId="0" xfId="0" applyFont="1" applyProtection="1">
      <protection locked="0"/>
    </xf>
    <xf numFmtId="0" fontId="0" fillId="0" borderId="0" xfId="0" applyFont="1" applyAlignment="1" applyProtection="1">
      <alignment vertical="center"/>
      <protection locked="0"/>
    </xf>
    <xf numFmtId="0" fontId="32" fillId="7" borderId="2" xfId="0" applyFont="1" applyFill="1" applyBorder="1" applyProtection="1">
      <protection locked="0"/>
    </xf>
    <xf numFmtId="0" fontId="15" fillId="0" borderId="0" xfId="0" applyFont="1" applyFill="1" applyBorder="1" applyAlignment="1" applyProtection="1">
      <alignment vertical="top"/>
      <protection locked="0"/>
    </xf>
    <xf numFmtId="0" fontId="5" fillId="0" borderId="0" xfId="0" applyFont="1" applyFill="1" applyProtection="1">
      <protection locked="0"/>
    </xf>
    <xf numFmtId="0" fontId="5" fillId="0" borderId="0" xfId="0" applyFont="1" applyAlignment="1" applyProtection="1">
      <alignment horizontal="right"/>
      <protection locked="0"/>
    </xf>
    <xf numFmtId="3" fontId="5" fillId="0" borderId="0" xfId="0" applyNumberFormat="1" applyFont="1" applyFill="1" applyBorder="1" applyAlignment="1" applyProtection="1">
      <alignment vertical="center"/>
      <protection locked="0"/>
    </xf>
    <xf numFmtId="0" fontId="5" fillId="4" borderId="1" xfId="0" applyFont="1" applyFill="1" applyBorder="1" applyAlignment="1" applyProtection="1">
      <alignment horizontal="center" vertical="center"/>
      <protection locked="0"/>
    </xf>
    <xf numFmtId="2" fontId="15" fillId="0" borderId="0" xfId="0" applyNumberFormat="1" applyFont="1" applyFill="1" applyBorder="1" applyAlignment="1" applyProtection="1">
      <alignment vertical="top"/>
      <protection locked="0"/>
    </xf>
    <xf numFmtId="3" fontId="5" fillId="4" borderId="1" xfId="0" applyNumberFormat="1" applyFont="1" applyFill="1" applyBorder="1" applyAlignment="1" applyProtection="1">
      <alignment horizontal="center"/>
      <protection locked="0"/>
    </xf>
    <xf numFmtId="168" fontId="5" fillId="4" borderId="1" xfId="3" applyNumberFormat="1" applyFont="1" applyFill="1" applyBorder="1" applyAlignment="1" applyProtection="1">
      <alignment horizontal="center"/>
      <protection locked="0"/>
    </xf>
    <xf numFmtId="0" fontId="5" fillId="0" borderId="0" xfId="0" applyFont="1" applyFill="1" applyAlignment="1" applyProtection="1">
      <alignment horizontal="left"/>
      <protection locked="0"/>
    </xf>
    <xf numFmtId="0" fontId="5" fillId="4" borderId="1" xfId="0" applyFont="1" applyFill="1" applyBorder="1" applyAlignment="1" applyProtection="1">
      <alignment horizontal="center"/>
      <protection locked="0"/>
    </xf>
    <xf numFmtId="3" fontId="13" fillId="4" borderId="1" xfId="0" applyNumberFormat="1" applyFont="1" applyFill="1" applyBorder="1" applyAlignment="1" applyProtection="1">
      <alignment horizontal="center"/>
      <protection locked="0"/>
    </xf>
    <xf numFmtId="0" fontId="5" fillId="0" borderId="0" xfId="0" applyFont="1" applyFill="1" applyBorder="1" applyProtection="1">
      <protection locked="0"/>
    </xf>
    <xf numFmtId="0" fontId="7" fillId="0" borderId="0" xfId="0" applyFont="1" applyAlignment="1" applyProtection="1">
      <alignment horizontal="right"/>
      <protection locked="0"/>
    </xf>
    <xf numFmtId="0" fontId="0" fillId="0" borderId="0" xfId="0" applyFont="1" applyBorder="1" applyAlignment="1" applyProtection="1">
      <alignment horizontal="center"/>
      <protection locked="0"/>
    </xf>
    <xf numFmtId="0" fontId="7" fillId="0" borderId="0" xfId="0" applyFont="1" applyProtection="1">
      <protection locked="0"/>
    </xf>
    <xf numFmtId="0" fontId="0" fillId="0" borderId="0" xfId="0" applyFont="1" applyAlignment="1" applyProtection="1">
      <alignment horizontal="center" vertical="center"/>
      <protection locked="0"/>
    </xf>
    <xf numFmtId="15" fontId="13" fillId="4" borderId="1" xfId="0" applyNumberFormat="1" applyFont="1" applyFill="1" applyBorder="1" applyAlignment="1" applyProtection="1">
      <alignment horizontal="center"/>
      <protection locked="0"/>
    </xf>
    <xf numFmtId="3" fontId="13" fillId="4" borderId="1" xfId="0" applyNumberFormat="1" applyFont="1" applyFill="1" applyBorder="1" applyProtection="1">
      <protection locked="0"/>
    </xf>
    <xf numFmtId="0" fontId="5" fillId="0" borderId="0" xfId="0" applyFont="1" applyFill="1" applyBorder="1" applyAlignment="1" applyProtection="1">
      <alignment horizontal="center"/>
      <protection locked="0"/>
    </xf>
    <xf numFmtId="165" fontId="7" fillId="0" borderId="0" xfId="0" applyNumberFormat="1" applyFont="1" applyBorder="1" applyProtection="1">
      <protection locked="0"/>
    </xf>
    <xf numFmtId="0" fontId="0" fillId="0" borderId="0" xfId="0" applyFont="1" applyFill="1" applyProtection="1">
      <protection locked="0"/>
    </xf>
    <xf numFmtId="0" fontId="5" fillId="0" borderId="0" xfId="0" applyFont="1" applyFill="1" applyBorder="1" applyAlignment="1" applyProtection="1">
      <alignment horizontal="left"/>
      <protection locked="0"/>
    </xf>
    <xf numFmtId="165" fontId="7" fillId="0" borderId="0" xfId="0" applyNumberFormat="1" applyFont="1" applyFill="1" applyBorder="1" applyProtection="1">
      <protection locked="0"/>
    </xf>
    <xf numFmtId="0" fontId="5" fillId="0" borderId="0" xfId="0" applyFont="1" applyAlignment="1" applyProtection="1">
      <alignment horizontal="left" wrapText="1"/>
      <protection locked="0"/>
    </xf>
    <xf numFmtId="0" fontId="0" fillId="10" borderId="0" xfId="0" applyFill="1" applyProtection="1">
      <protection locked="0"/>
    </xf>
    <xf numFmtId="0" fontId="30" fillId="0" borderId="0" xfId="0" applyFont="1" applyAlignment="1" applyProtection="1">
      <alignment vertical="center"/>
    </xf>
    <xf numFmtId="0" fontId="4" fillId="0" borderId="0" xfId="0" applyFont="1" applyAlignment="1" applyProtection="1">
      <alignment vertical="center"/>
    </xf>
    <xf numFmtId="0" fontId="9" fillId="0" borderId="0" xfId="0" applyFont="1" applyAlignment="1" applyProtection="1">
      <alignment horizontal="right" wrapText="1"/>
    </xf>
    <xf numFmtId="0" fontId="31" fillId="0" borderId="0" xfId="0" applyFont="1" applyProtection="1"/>
    <xf numFmtId="0" fontId="0" fillId="0" borderId="0" xfId="0" applyFont="1" applyAlignment="1" applyProtection="1">
      <alignment vertical="center"/>
    </xf>
    <xf numFmtId="0" fontId="6" fillId="0" borderId="0" xfId="0" applyFont="1" applyFill="1" applyAlignment="1" applyProtection="1">
      <alignment horizontal="left" vertical="center"/>
    </xf>
    <xf numFmtId="0" fontId="5" fillId="0" borderId="0" xfId="0" applyFont="1" applyFill="1" applyAlignment="1" applyProtection="1">
      <alignment vertical="center"/>
    </xf>
    <xf numFmtId="0" fontId="5" fillId="0" borderId="0" xfId="0" applyFont="1" applyAlignment="1" applyProtection="1">
      <alignment vertical="center"/>
    </xf>
    <xf numFmtId="0" fontId="5" fillId="0" borderId="0" xfId="0" applyFont="1" applyFill="1" applyBorder="1" applyAlignment="1" applyProtection="1">
      <alignment vertical="center"/>
    </xf>
    <xf numFmtId="0" fontId="5" fillId="0" borderId="0" xfId="0" applyFont="1" applyBorder="1" applyAlignment="1" applyProtection="1">
      <alignment vertical="center"/>
    </xf>
    <xf numFmtId="1" fontId="3" fillId="0" borderId="0" xfId="0" applyNumberFormat="1" applyFont="1" applyBorder="1" applyAlignment="1" applyProtection="1">
      <alignment horizontal="left" vertical="center"/>
    </xf>
    <xf numFmtId="0" fontId="32" fillId="7" borderId="2" xfId="0" applyFont="1" applyFill="1" applyBorder="1" applyProtection="1"/>
    <xf numFmtId="0" fontId="32" fillId="7" borderId="4" xfId="0" applyFont="1" applyFill="1" applyBorder="1" applyProtection="1"/>
    <xf numFmtId="0" fontId="32" fillId="7" borderId="3" xfId="0" applyFont="1" applyFill="1" applyBorder="1" applyProtection="1"/>
    <xf numFmtId="0" fontId="5" fillId="0" borderId="0" xfId="0" applyFont="1" applyAlignment="1" applyProtection="1">
      <alignment horizontal="right"/>
    </xf>
    <xf numFmtId="0" fontId="10" fillId="0" borderId="0" xfId="1" applyFont="1" applyProtection="1"/>
    <xf numFmtId="0" fontId="0" fillId="0" borderId="0" xfId="0" applyProtection="1"/>
    <xf numFmtId="0" fontId="5" fillId="0" borderId="0" xfId="0" applyFont="1" applyFill="1" applyAlignment="1" applyProtection="1">
      <alignment horizontal="left"/>
    </xf>
    <xf numFmtId="0" fontId="10" fillId="0" borderId="0" xfId="1" applyFont="1" applyFill="1" applyProtection="1"/>
    <xf numFmtId="0" fontId="5" fillId="0" borderId="0" xfId="0" applyFont="1" applyFill="1" applyProtection="1"/>
    <xf numFmtId="0" fontId="5" fillId="0" borderId="8" xfId="0" applyFont="1" applyFill="1" applyBorder="1" applyAlignment="1" applyProtection="1">
      <alignment horizontal="left"/>
    </xf>
    <xf numFmtId="0" fontId="15" fillId="0" borderId="0" xfId="0" applyFont="1" applyFill="1" applyBorder="1" applyAlignment="1" applyProtection="1">
      <alignment vertical="top"/>
    </xf>
    <xf numFmtId="0" fontId="7" fillId="0" borderId="0" xfId="0" applyFont="1" applyAlignment="1" applyProtection="1">
      <alignment horizontal="right"/>
    </xf>
    <xf numFmtId="0" fontId="12" fillId="0" borderId="0" xfId="0" applyFont="1" applyAlignment="1" applyProtection="1">
      <alignment horizontal="right"/>
    </xf>
    <xf numFmtId="0" fontId="5" fillId="0" borderId="0" xfId="0" applyFont="1" applyAlignment="1" applyProtection="1">
      <alignment horizontal="center" vertical="center"/>
    </xf>
    <xf numFmtId="0" fontId="7" fillId="0" borderId="0" xfId="0" applyFont="1" applyFill="1" applyBorder="1" applyProtection="1"/>
    <xf numFmtId="0" fontId="5" fillId="0" borderId="0" xfId="0" applyFont="1" applyAlignment="1" applyProtection="1">
      <alignment vertical="top"/>
    </xf>
    <xf numFmtId="0" fontId="23" fillId="5" borderId="1" xfId="0" applyFont="1" applyFill="1" applyBorder="1" applyAlignment="1" applyProtection="1">
      <alignment horizontal="center" vertical="center" wrapText="1"/>
    </xf>
    <xf numFmtId="3" fontId="13" fillId="0" borderId="1" xfId="0" quotePrefix="1" applyNumberFormat="1" applyFont="1" applyBorder="1" applyAlignment="1" applyProtection="1">
      <alignment horizontal="center"/>
    </xf>
    <xf numFmtId="0" fontId="30" fillId="0" borderId="0" xfId="0" applyFont="1" applyAlignment="1" applyProtection="1">
      <alignment vertical="center"/>
      <protection hidden="1"/>
    </xf>
    <xf numFmtId="0" fontId="4" fillId="0" borderId="0" xfId="0" applyFont="1" applyAlignment="1" applyProtection="1">
      <alignment vertical="center"/>
      <protection hidden="1"/>
    </xf>
    <xf numFmtId="0" fontId="9" fillId="0" borderId="0" xfId="0" applyFont="1" applyAlignment="1" applyProtection="1">
      <alignment horizontal="right" wrapText="1"/>
      <protection hidden="1"/>
    </xf>
    <xf numFmtId="0" fontId="31" fillId="0" borderId="0" xfId="0" applyFont="1" applyProtection="1">
      <protection hidden="1"/>
    </xf>
    <xf numFmtId="0" fontId="0" fillId="0" borderId="0" xfId="0" applyFont="1" applyAlignment="1" applyProtection="1">
      <alignment vertical="center"/>
      <protection hidden="1"/>
    </xf>
    <xf numFmtId="0" fontId="6" fillId="0" borderId="0" xfId="0" applyFont="1" applyFill="1" applyAlignment="1" applyProtection="1">
      <alignment horizontal="left" vertical="center"/>
      <protection hidden="1"/>
    </xf>
    <xf numFmtId="0" fontId="5" fillId="0" borderId="0" xfId="0" applyFont="1" applyFill="1" applyAlignment="1" applyProtection="1">
      <alignment vertical="center"/>
      <protection hidden="1"/>
    </xf>
    <xf numFmtId="0" fontId="5" fillId="0" borderId="0" xfId="0" applyFont="1" applyAlignment="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Border="1" applyAlignment="1" applyProtection="1">
      <alignment vertical="center"/>
      <protection hidden="1"/>
    </xf>
    <xf numFmtId="1" fontId="3" fillId="0" borderId="0" xfId="0" applyNumberFormat="1" applyFont="1" applyBorder="1" applyAlignment="1" applyProtection="1">
      <alignment horizontal="left" vertical="center"/>
      <protection hidden="1"/>
    </xf>
    <xf numFmtId="0" fontId="32" fillId="7" borderId="2" xfId="0" applyFont="1" applyFill="1" applyBorder="1" applyProtection="1">
      <protection hidden="1"/>
    </xf>
    <xf numFmtId="0" fontId="32" fillId="7" borderId="4" xfId="0" applyFont="1" applyFill="1" applyBorder="1" applyProtection="1">
      <protection hidden="1"/>
    </xf>
    <xf numFmtId="0" fontId="5" fillId="0" borderId="0" xfId="0" applyFont="1" applyBorder="1" applyProtection="1">
      <protection hidden="1"/>
    </xf>
    <xf numFmtId="0" fontId="15" fillId="0" borderId="0" xfId="0" applyFont="1" applyFill="1" applyBorder="1" applyAlignment="1" applyProtection="1">
      <alignment vertical="top"/>
      <protection hidden="1"/>
    </xf>
    <xf numFmtId="0" fontId="5" fillId="0" borderId="0" xfId="0" applyFont="1" applyFill="1" applyProtection="1">
      <protection hidden="1"/>
    </xf>
    <xf numFmtId="0" fontId="37" fillId="0" borderId="0" xfId="0" applyFont="1" applyProtection="1">
      <protection hidden="1"/>
    </xf>
    <xf numFmtId="0" fontId="17" fillId="0" borderId="0" xfId="0" applyFont="1" applyAlignment="1" applyProtection="1">
      <alignment horizontal="left"/>
      <protection hidden="1"/>
    </xf>
    <xf numFmtId="0" fontId="7" fillId="0" borderId="0" xfId="0" applyFont="1" applyProtection="1">
      <protection hidden="1"/>
    </xf>
    <xf numFmtId="0" fontId="5" fillId="0" borderId="0" xfId="0" applyFont="1" applyFill="1" applyBorder="1" applyProtection="1">
      <protection hidden="1"/>
    </xf>
    <xf numFmtId="0" fontId="7" fillId="0" borderId="0" xfId="0" applyFont="1" applyFill="1" applyBorder="1" applyProtection="1">
      <protection hidden="1"/>
    </xf>
    <xf numFmtId="0" fontId="48" fillId="5" borderId="1" xfId="0" applyFont="1" applyFill="1" applyBorder="1" applyAlignment="1" applyProtection="1">
      <alignment horizontal="center" vertical="center" wrapText="1"/>
      <protection hidden="1"/>
    </xf>
    <xf numFmtId="0" fontId="48" fillId="5" borderId="0" xfId="0" applyFont="1" applyFill="1" applyAlignment="1" applyProtection="1">
      <alignment horizontal="center" vertical="center" wrapText="1"/>
      <protection hidden="1"/>
    </xf>
    <xf numFmtId="0" fontId="35" fillId="0" borderId="0" xfId="0" applyFont="1" applyProtection="1">
      <protection hidden="1"/>
    </xf>
    <xf numFmtId="164" fontId="7" fillId="0" borderId="0" xfId="0" applyNumberFormat="1" applyFont="1" applyAlignment="1" applyProtection="1">
      <alignment horizontal="right"/>
      <protection hidden="1"/>
    </xf>
    <xf numFmtId="0" fontId="48" fillId="5" borderId="5" xfId="0" applyFont="1" applyFill="1" applyBorder="1" applyAlignment="1" applyProtection="1">
      <alignment horizontal="center" vertical="center" wrapText="1"/>
      <protection hidden="1"/>
    </xf>
    <xf numFmtId="0" fontId="8" fillId="0" borderId="0" xfId="0" applyFont="1" applyBorder="1" applyAlignment="1" applyProtection="1">
      <alignment vertical="top" wrapText="1"/>
      <protection hidden="1"/>
    </xf>
    <xf numFmtId="0" fontId="8" fillId="0" borderId="0" xfId="0" applyFont="1" applyAlignment="1" applyProtection="1">
      <alignment vertical="top" wrapText="1"/>
      <protection hidden="1"/>
    </xf>
    <xf numFmtId="0" fontId="38" fillId="0" borderId="0" xfId="0" applyFont="1" applyProtection="1">
      <protection hidden="1"/>
    </xf>
    <xf numFmtId="0" fontId="0" fillId="0" borderId="0" xfId="0" applyAlignment="1" applyProtection="1">
      <alignment horizontal="left"/>
      <protection hidden="1"/>
    </xf>
    <xf numFmtId="0" fontId="26" fillId="9" borderId="2" xfId="0" applyFont="1" applyFill="1" applyBorder="1" applyProtection="1">
      <protection hidden="1"/>
    </xf>
    <xf numFmtId="0" fontId="26" fillId="9" borderId="4" xfId="0" applyFont="1" applyFill="1" applyBorder="1" applyProtection="1">
      <protection hidden="1"/>
    </xf>
    <xf numFmtId="0" fontId="25" fillId="9" borderId="4" xfId="0" applyFont="1" applyFill="1" applyBorder="1" applyProtection="1">
      <protection hidden="1"/>
    </xf>
    <xf numFmtId="0" fontId="25" fillId="9" borderId="3" xfId="0" applyFont="1" applyFill="1" applyBorder="1" applyProtection="1">
      <protection hidden="1"/>
    </xf>
    <xf numFmtId="0" fontId="25" fillId="5" borderId="2" xfId="0" applyFont="1" applyFill="1" applyBorder="1" applyAlignment="1" applyProtection="1">
      <alignment horizontal="center" vertical="center" wrapText="1"/>
      <protection hidden="1"/>
    </xf>
    <xf numFmtId="0" fontId="25" fillId="5" borderId="1" xfId="0" applyFont="1" applyFill="1" applyBorder="1" applyAlignment="1" applyProtection="1">
      <alignment horizontal="center" vertical="center" wrapText="1"/>
      <protection hidden="1"/>
    </xf>
    <xf numFmtId="0" fontId="0" fillId="0" borderId="0" xfId="0" applyFont="1" applyAlignment="1" applyProtection="1">
      <alignment horizontal="right" vertical="center"/>
      <protection hidden="1"/>
    </xf>
    <xf numFmtId="2" fontId="2" fillId="0" borderId="0" xfId="0" applyNumberFormat="1" applyFont="1" applyBorder="1" applyAlignment="1" applyProtection="1">
      <alignment horizontal="center"/>
      <protection hidden="1"/>
    </xf>
    <xf numFmtId="0" fontId="48" fillId="5" borderId="2" xfId="0" applyFont="1" applyFill="1" applyBorder="1" applyAlignment="1" applyProtection="1">
      <alignment horizontal="center" vertical="center" wrapText="1"/>
      <protection hidden="1"/>
    </xf>
    <xf numFmtId="0" fontId="5" fillId="0" borderId="0" xfId="0" applyFont="1" applyAlignment="1" applyProtection="1">
      <alignment horizontal="right"/>
      <protection hidden="1"/>
    </xf>
    <xf numFmtId="168" fontId="5" fillId="8" borderId="1" xfId="0" applyNumberFormat="1" applyFont="1" applyFill="1" applyBorder="1" applyAlignment="1" applyProtection="1">
      <alignment horizontal="center"/>
      <protection hidden="1"/>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5" fillId="0" borderId="0" xfId="0" applyFont="1" applyAlignment="1" applyProtection="1">
      <protection hidden="1"/>
    </xf>
    <xf numFmtId="0" fontId="5" fillId="0" borderId="0" xfId="0" applyFont="1" applyAlignment="1" applyProtection="1">
      <alignment wrapText="1"/>
      <protection hidden="1"/>
    </xf>
    <xf numFmtId="0" fontId="28" fillId="0" borderId="0" xfId="0" applyFont="1" applyAlignment="1" applyProtection="1">
      <alignment horizontal="left" indent="1"/>
      <protection hidden="1"/>
    </xf>
    <xf numFmtId="0" fontId="40" fillId="0" borderId="0" xfId="0" applyFont="1" applyAlignment="1" applyProtection="1">
      <alignment horizontal="left" indent="1"/>
      <protection hidden="1"/>
    </xf>
    <xf numFmtId="0" fontId="46" fillId="0" borderId="0" xfId="0" applyFont="1" applyAlignment="1" applyProtection="1">
      <alignment horizontal="left"/>
      <protection hidden="1"/>
    </xf>
    <xf numFmtId="0" fontId="0" fillId="0" borderId="0" xfId="0" applyAlignment="1" applyProtection="1">
      <alignment horizontal="center" vertical="center"/>
      <protection hidden="1"/>
    </xf>
    <xf numFmtId="2" fontId="5" fillId="0" borderId="0" xfId="0" applyNumberFormat="1" applyFont="1" applyProtection="1">
      <protection hidden="1"/>
    </xf>
    <xf numFmtId="0" fontId="41" fillId="0" borderId="0" xfId="0" applyFont="1" applyAlignment="1" applyProtection="1">
      <alignment horizontal="left"/>
      <protection hidden="1"/>
    </xf>
    <xf numFmtId="0" fontId="0" fillId="0" borderId="0" xfId="0" applyFont="1" applyAlignment="1" applyProtection="1">
      <alignment horizontal="center" vertical="center"/>
      <protection hidden="1"/>
    </xf>
    <xf numFmtId="0" fontId="34" fillId="0" borderId="0" xfId="0" applyFont="1" applyProtection="1">
      <protection hidden="1"/>
    </xf>
    <xf numFmtId="0" fontId="0" fillId="0" borderId="1" xfId="0" applyBorder="1" applyAlignment="1" applyProtection="1">
      <alignment horizontal="left" vertical="center" wrapText="1" indent="1"/>
      <protection hidden="1"/>
    </xf>
    <xf numFmtId="164" fontId="0" fillId="0" borderId="1" xfId="0" applyNumberFormat="1" applyBorder="1" applyAlignment="1" applyProtection="1">
      <alignment horizontal="center"/>
      <protection hidden="1"/>
    </xf>
    <xf numFmtId="0" fontId="0" fillId="0" borderId="1" xfId="0" applyBorder="1" applyAlignment="1" applyProtection="1">
      <alignment horizontal="left" vertical="center" indent="1"/>
      <protection hidden="1"/>
    </xf>
    <xf numFmtId="164" fontId="18" fillId="0" borderId="1" xfId="0" applyNumberFormat="1" applyFont="1" applyBorder="1" applyAlignment="1" applyProtection="1">
      <alignment horizontal="center"/>
      <protection hidden="1"/>
    </xf>
    <xf numFmtId="0" fontId="0" fillId="0" borderId="7" xfId="0" applyBorder="1" applyAlignment="1" applyProtection="1">
      <alignment horizontal="left" vertical="center" wrapText="1" indent="1"/>
      <protection hidden="1"/>
    </xf>
    <xf numFmtId="0" fontId="0" fillId="0" borderId="0" xfId="0" quotePrefix="1" applyAlignment="1" applyProtection="1">
      <alignment horizontal="center" vertical="center" wrapText="1"/>
      <protection hidden="1"/>
    </xf>
    <xf numFmtId="0" fontId="0" fillId="0" borderId="0" xfId="0" applyAlignment="1" applyProtection="1">
      <alignment horizontal="center"/>
      <protection hidden="1"/>
    </xf>
    <xf numFmtId="17" fontId="21" fillId="5" borderId="1" xfId="0" applyNumberFormat="1" applyFont="1" applyFill="1" applyBorder="1" applyAlignment="1" applyProtection="1">
      <alignment horizontal="center" vertical="center" wrapText="1"/>
      <protection hidden="1"/>
    </xf>
    <xf numFmtId="0" fontId="21" fillId="5" borderId="1" xfId="0" applyNumberFormat="1" applyFont="1" applyFill="1" applyBorder="1" applyAlignment="1" applyProtection="1">
      <alignment horizontal="center" vertical="center" wrapText="1"/>
      <protection hidden="1"/>
    </xf>
    <xf numFmtId="0" fontId="0" fillId="0" borderId="1" xfId="0" applyBorder="1" applyAlignment="1" applyProtection="1">
      <alignment horizontal="center"/>
      <protection hidden="1"/>
    </xf>
    <xf numFmtId="0" fontId="18" fillId="0" borderId="1" xfId="0" applyFont="1" applyBorder="1" applyAlignment="1" applyProtection="1">
      <alignment horizontal="left" vertical="center" wrapText="1" indent="1"/>
      <protection hidden="1"/>
    </xf>
    <xf numFmtId="0" fontId="0" fillId="0" borderId="1" xfId="0" applyFill="1" applyBorder="1" applyAlignment="1" applyProtection="1">
      <alignment horizontal="center"/>
      <protection hidden="1"/>
    </xf>
    <xf numFmtId="0" fontId="5" fillId="0" borderId="0" xfId="0" applyFont="1" applyBorder="1" applyAlignment="1" applyProtection="1">
      <alignment horizontal="left" vertical="center" wrapText="1"/>
    </xf>
    <xf numFmtId="0" fontId="7" fillId="0" borderId="2" xfId="0" applyFont="1" applyBorder="1" applyAlignment="1" applyProtection="1">
      <alignment horizontal="left" indent="1"/>
    </xf>
    <xf numFmtId="0" fontId="7" fillId="0" borderId="3" xfId="0" applyFont="1" applyBorder="1" applyAlignment="1" applyProtection="1">
      <alignment horizontal="left" indent="1"/>
    </xf>
    <xf numFmtId="3" fontId="13" fillId="0" borderId="2" xfId="0" quotePrefix="1" applyNumberFormat="1" applyFont="1" applyBorder="1" applyAlignment="1" applyProtection="1">
      <alignment horizontal="center"/>
    </xf>
    <xf numFmtId="3" fontId="13" fillId="0" borderId="3" xfId="0" applyNumberFormat="1" applyFont="1" applyBorder="1" applyAlignment="1" applyProtection="1">
      <alignment horizontal="center"/>
    </xf>
    <xf numFmtId="0" fontId="5" fillId="0" borderId="2" xfId="0" applyFont="1" applyBorder="1" applyAlignment="1" applyProtection="1">
      <alignment horizontal="left" indent="1"/>
    </xf>
    <xf numFmtId="0" fontId="5" fillId="0" borderId="3" xfId="0" applyFont="1" applyBorder="1" applyAlignment="1" applyProtection="1">
      <alignment horizontal="left" indent="1"/>
    </xf>
    <xf numFmtId="0" fontId="23" fillId="5" borderId="2" xfId="0" applyFont="1" applyFill="1" applyBorder="1" applyAlignment="1" applyProtection="1">
      <alignment horizontal="center" vertical="center" wrapText="1"/>
    </xf>
    <xf numFmtId="0" fontId="23" fillId="5" borderId="4" xfId="0" applyFont="1" applyFill="1" applyBorder="1" applyAlignment="1" applyProtection="1">
      <alignment horizontal="center" vertical="center" wrapText="1"/>
    </xf>
    <xf numFmtId="0" fontId="23" fillId="5" borderId="3" xfId="0" applyFont="1" applyFill="1" applyBorder="1" applyAlignment="1" applyProtection="1">
      <alignment horizontal="center" vertical="center" wrapText="1"/>
    </xf>
    <xf numFmtId="0" fontId="5" fillId="4" borderId="2" xfId="0" applyFont="1" applyFill="1" applyBorder="1" applyAlignment="1" applyProtection="1">
      <alignment horizontal="left"/>
      <protection locked="0"/>
    </xf>
    <xf numFmtId="0" fontId="5" fillId="4" borderId="3" xfId="0" applyFont="1" applyFill="1" applyBorder="1" applyAlignment="1" applyProtection="1">
      <alignment horizontal="left"/>
      <protection locked="0"/>
    </xf>
    <xf numFmtId="0" fontId="51" fillId="0" borderId="1" xfId="0" applyFont="1" applyBorder="1" applyAlignment="1" applyProtection="1">
      <alignment horizontal="left"/>
    </xf>
    <xf numFmtId="164" fontId="5" fillId="4" borderId="2" xfId="0" quotePrefix="1" applyNumberFormat="1" applyFont="1" applyFill="1" applyBorder="1" applyAlignment="1" applyProtection="1">
      <alignment horizontal="left" indent="1"/>
      <protection locked="0"/>
    </xf>
    <xf numFmtId="164" fontId="5" fillId="4" borderId="4" xfId="0" applyNumberFormat="1" applyFont="1" applyFill="1" applyBorder="1" applyAlignment="1" applyProtection="1">
      <alignment horizontal="left" indent="1"/>
      <protection locked="0"/>
    </xf>
    <xf numFmtId="0" fontId="5" fillId="0" borderId="0" xfId="0" applyFont="1" applyAlignment="1" applyProtection="1">
      <alignment horizontal="left"/>
    </xf>
    <xf numFmtId="0" fontId="5" fillId="0" borderId="8" xfId="0" applyFont="1" applyBorder="1" applyAlignment="1" applyProtection="1">
      <alignment horizontal="left"/>
    </xf>
    <xf numFmtId="0" fontId="21" fillId="5" borderId="10" xfId="0" applyFont="1" applyFill="1" applyBorder="1" applyAlignment="1" applyProtection="1">
      <alignment horizontal="center" vertical="center"/>
    </xf>
    <xf numFmtId="0" fontId="21" fillId="5" borderId="11" xfId="0" applyFont="1" applyFill="1" applyBorder="1" applyAlignment="1" applyProtection="1">
      <alignment horizontal="center" vertical="center"/>
    </xf>
    <xf numFmtId="0" fontId="21" fillId="5" borderId="12" xfId="0" applyFont="1" applyFill="1" applyBorder="1" applyAlignment="1" applyProtection="1">
      <alignment horizontal="center" vertical="center"/>
    </xf>
    <xf numFmtId="0" fontId="21" fillId="5" borderId="13" xfId="0" applyFont="1" applyFill="1" applyBorder="1" applyAlignment="1" applyProtection="1">
      <alignment horizontal="center" vertical="center"/>
    </xf>
    <xf numFmtId="1" fontId="21" fillId="5" borderId="5" xfId="0" applyNumberFormat="1" applyFont="1" applyFill="1" applyBorder="1" applyAlignment="1" applyProtection="1">
      <alignment horizontal="center" vertical="center" wrapText="1"/>
    </xf>
    <xf numFmtId="1" fontId="21" fillId="5" borderId="6" xfId="0" applyNumberFormat="1" applyFont="1" applyFill="1" applyBorder="1" applyAlignment="1" applyProtection="1">
      <alignment horizontal="center" vertical="center" wrapText="1"/>
    </xf>
    <xf numFmtId="0" fontId="5" fillId="4" borderId="2" xfId="0" applyFont="1" applyFill="1" applyBorder="1" applyAlignment="1" applyProtection="1">
      <alignment horizontal="center"/>
      <protection locked="0"/>
    </xf>
    <xf numFmtId="0" fontId="5" fillId="4" borderId="4" xfId="0" applyFont="1" applyFill="1" applyBorder="1" applyAlignment="1" applyProtection="1">
      <alignment horizontal="center"/>
      <protection locked="0"/>
    </xf>
    <xf numFmtId="0" fontId="5" fillId="4" borderId="3" xfId="0" applyFont="1" applyFill="1" applyBorder="1" applyAlignment="1" applyProtection="1">
      <alignment horizontal="center"/>
      <protection locked="0"/>
    </xf>
    <xf numFmtId="1" fontId="21" fillId="5" borderId="5" xfId="0" applyNumberFormat="1" applyFont="1" applyFill="1" applyBorder="1" applyAlignment="1" applyProtection="1">
      <alignment horizontal="center" vertical="center"/>
    </xf>
    <xf numFmtId="1" fontId="21" fillId="5" borderId="6" xfId="0" applyNumberFormat="1" applyFont="1" applyFill="1" applyBorder="1" applyAlignment="1" applyProtection="1">
      <alignment horizontal="center" vertical="center"/>
    </xf>
    <xf numFmtId="0" fontId="5" fillId="0" borderId="0" xfId="0" applyFont="1" applyAlignment="1" applyProtection="1">
      <alignment horizontal="left" wrapText="1"/>
    </xf>
    <xf numFmtId="0" fontId="5" fillId="0" borderId="0" xfId="0" applyFont="1" applyAlignment="1" applyProtection="1">
      <alignment horizontal="left" wrapText="1" indent="1"/>
    </xf>
    <xf numFmtId="3" fontId="5" fillId="4" borderId="1" xfId="0" applyNumberFormat="1" applyFont="1" applyFill="1" applyBorder="1" applyAlignment="1" applyProtection="1">
      <alignment horizontal="left" vertical="center"/>
      <protection locked="0"/>
    </xf>
    <xf numFmtId="3" fontId="3" fillId="4" borderId="2" xfId="2" applyNumberFormat="1" applyFont="1" applyFill="1" applyBorder="1" applyAlignment="1" applyProtection="1">
      <alignment horizontal="left"/>
      <protection locked="0"/>
    </xf>
    <xf numFmtId="3" fontId="3" fillId="4" borderId="4" xfId="2" applyNumberFormat="1" applyFont="1" applyFill="1" applyBorder="1" applyAlignment="1" applyProtection="1">
      <alignment horizontal="left"/>
      <protection locked="0"/>
    </xf>
    <xf numFmtId="3" fontId="3" fillId="4" borderId="3" xfId="2" applyNumberFormat="1" applyFont="1" applyFill="1" applyBorder="1" applyAlignment="1" applyProtection="1">
      <alignment horizontal="left"/>
      <protection locked="0"/>
    </xf>
    <xf numFmtId="1" fontId="21" fillId="5" borderId="5" xfId="0" applyNumberFormat="1" applyFont="1" applyFill="1" applyBorder="1" applyAlignment="1" applyProtection="1">
      <alignment horizontal="center" vertical="center" wrapText="1"/>
      <protection hidden="1"/>
    </xf>
    <xf numFmtId="1" fontId="21" fillId="5" borderId="6" xfId="0" applyNumberFormat="1" applyFont="1" applyFill="1" applyBorder="1" applyAlignment="1" applyProtection="1">
      <alignment horizontal="center" vertical="center" wrapText="1"/>
      <protection hidden="1"/>
    </xf>
    <xf numFmtId="0" fontId="48" fillId="5" borderId="5" xfId="0" applyFont="1" applyFill="1" applyBorder="1" applyAlignment="1" applyProtection="1">
      <alignment horizontal="center" vertical="center" wrapText="1"/>
      <protection hidden="1"/>
    </xf>
    <xf numFmtId="0" fontId="48" fillId="5" borderId="6" xfId="0" applyFont="1" applyFill="1" applyBorder="1" applyAlignment="1" applyProtection="1">
      <alignment horizontal="center" vertical="center" wrapText="1"/>
      <protection hidden="1"/>
    </xf>
    <xf numFmtId="0" fontId="48" fillId="5" borderId="10" xfId="0" applyFont="1" applyFill="1" applyBorder="1" applyAlignment="1" applyProtection="1">
      <alignment horizontal="center" vertical="center" wrapText="1"/>
      <protection hidden="1"/>
    </xf>
    <xf numFmtId="0" fontId="48" fillId="5" borderId="12" xfId="0" applyFont="1" applyFill="1" applyBorder="1" applyAlignment="1" applyProtection="1">
      <alignment horizontal="center" vertical="center" wrapText="1"/>
      <protection hidden="1"/>
    </xf>
    <xf numFmtId="2" fontId="52" fillId="8" borderId="1" xfId="0" applyNumberFormat="1" applyFont="1" applyFill="1" applyBorder="1" applyAlignment="1" applyProtection="1">
      <alignment horizontal="center" vertical="center" wrapText="1"/>
      <protection hidden="1"/>
    </xf>
    <xf numFmtId="0" fontId="52" fillId="6" borderId="2" xfId="0" applyFont="1" applyFill="1" applyBorder="1" applyAlignment="1" applyProtection="1">
      <alignment horizontal="left" vertical="center" wrapText="1"/>
      <protection hidden="1"/>
    </xf>
    <xf numFmtId="0" fontId="52" fillId="6" borderId="3" xfId="0" applyFont="1" applyFill="1" applyBorder="1" applyAlignment="1" applyProtection="1">
      <alignment horizontal="left" vertical="center" wrapText="1"/>
      <protection hidden="1"/>
    </xf>
    <xf numFmtId="0" fontId="48" fillId="5" borderId="11" xfId="0" applyFont="1" applyFill="1" applyBorder="1" applyAlignment="1" applyProtection="1">
      <alignment horizontal="center" vertical="center" wrapText="1"/>
      <protection hidden="1"/>
    </xf>
    <xf numFmtId="0" fontId="48" fillId="5" borderId="13" xfId="0" applyFont="1" applyFill="1" applyBorder="1" applyAlignment="1" applyProtection="1">
      <alignment horizontal="center" vertical="center" wrapText="1"/>
      <protection hidden="1"/>
    </xf>
    <xf numFmtId="0" fontId="48" fillId="5" borderId="2" xfId="0" applyFont="1" applyFill="1" applyBorder="1" applyAlignment="1" applyProtection="1">
      <alignment horizontal="center" vertical="center" wrapText="1"/>
      <protection hidden="1"/>
    </xf>
    <xf numFmtId="0" fontId="48" fillId="5" borderId="3" xfId="0" applyFont="1" applyFill="1" applyBorder="1" applyAlignment="1" applyProtection="1">
      <alignment horizontal="center" vertical="center" wrapText="1"/>
      <protection hidden="1"/>
    </xf>
    <xf numFmtId="2" fontId="13" fillId="0" borderId="5" xfId="0" applyNumberFormat="1" applyFont="1" applyBorder="1" applyAlignment="1" applyProtection="1">
      <alignment horizontal="center" vertical="center"/>
      <protection hidden="1"/>
    </xf>
    <xf numFmtId="2" fontId="13" fillId="0" borderId="6" xfId="0" applyNumberFormat="1" applyFont="1" applyBorder="1" applyAlignment="1" applyProtection="1">
      <alignment horizontal="center" vertical="center"/>
      <protection hidden="1"/>
    </xf>
    <xf numFmtId="0" fontId="48" fillId="5" borderId="1" xfId="0" applyFont="1" applyFill="1" applyBorder="1" applyAlignment="1" applyProtection="1">
      <alignment horizontal="center" vertical="center" wrapText="1"/>
      <protection hidden="1"/>
    </xf>
    <xf numFmtId="17" fontId="48" fillId="5" borderId="1" xfId="0" applyNumberFormat="1" applyFont="1" applyFill="1" applyBorder="1" applyAlignment="1" applyProtection="1">
      <alignment horizontal="center" vertical="center" wrapText="1"/>
      <protection hidden="1"/>
    </xf>
    <xf numFmtId="9" fontId="52" fillId="0" borderId="1" xfId="3" applyFont="1" applyFill="1" applyBorder="1" applyAlignment="1" applyProtection="1">
      <alignment horizontal="center" vertical="center" wrapText="1"/>
      <protection hidden="1"/>
    </xf>
    <xf numFmtId="2" fontId="52" fillId="0" borderId="1" xfId="0" applyNumberFormat="1" applyFont="1" applyBorder="1" applyAlignment="1" applyProtection="1">
      <alignment horizontal="center" vertical="center" wrapText="1"/>
      <protection hidden="1"/>
    </xf>
    <xf numFmtId="0" fontId="10" fillId="0" borderId="10" xfId="0" applyFont="1" applyBorder="1" applyAlignment="1" applyProtection="1">
      <alignment horizontal="left" vertical="center" wrapText="1"/>
      <protection hidden="1"/>
    </xf>
    <xf numFmtId="0" fontId="10" fillId="0" borderId="11" xfId="0" applyFont="1" applyBorder="1" applyAlignment="1" applyProtection="1">
      <alignment horizontal="left" vertical="center" wrapText="1"/>
      <protection hidden="1"/>
    </xf>
    <xf numFmtId="0" fontId="10" fillId="0" borderId="12" xfId="0" applyFont="1" applyBorder="1" applyAlignment="1" applyProtection="1">
      <alignment horizontal="left" vertical="center" wrapText="1"/>
      <protection hidden="1"/>
    </xf>
    <xf numFmtId="0" fontId="10" fillId="0" borderId="13" xfId="0" applyFont="1" applyBorder="1" applyAlignment="1" applyProtection="1">
      <alignment horizontal="left" vertical="center" wrapText="1"/>
      <protection hidden="1"/>
    </xf>
    <xf numFmtId="1" fontId="52" fillId="8" borderId="1" xfId="0" applyNumberFormat="1" applyFont="1" applyFill="1" applyBorder="1" applyAlignment="1" applyProtection="1">
      <alignment horizontal="center" vertical="center" wrapText="1"/>
      <protection hidden="1"/>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1" fontId="21" fillId="5" borderId="10" xfId="0" applyNumberFormat="1" applyFont="1" applyFill="1" applyBorder="1" applyAlignment="1" applyProtection="1">
      <alignment horizontal="left" vertical="center" wrapText="1"/>
      <protection hidden="1"/>
    </xf>
    <xf numFmtId="1" fontId="21" fillId="5" borderId="11" xfId="0" applyNumberFormat="1" applyFont="1" applyFill="1" applyBorder="1" applyAlignment="1" applyProtection="1">
      <alignment horizontal="left" vertical="center" wrapText="1"/>
      <protection hidden="1"/>
    </xf>
    <xf numFmtId="1" fontId="21" fillId="5" borderId="12" xfId="0" applyNumberFormat="1" applyFont="1" applyFill="1" applyBorder="1" applyAlignment="1" applyProtection="1">
      <alignment horizontal="left" vertical="center" wrapText="1"/>
      <protection hidden="1"/>
    </xf>
    <xf numFmtId="1" fontId="21" fillId="5" borderId="13" xfId="0" applyNumberFormat="1" applyFont="1" applyFill="1" applyBorder="1" applyAlignment="1" applyProtection="1">
      <alignment horizontal="left" vertical="center" wrapText="1"/>
      <protection hidden="1"/>
    </xf>
    <xf numFmtId="1" fontId="21" fillId="5" borderId="2" xfId="0" applyNumberFormat="1" applyFont="1" applyFill="1" applyBorder="1" applyAlignment="1" applyProtection="1">
      <alignment horizontal="center" vertical="center" wrapText="1"/>
      <protection hidden="1"/>
    </xf>
    <xf numFmtId="1" fontId="21" fillId="5" borderId="4" xfId="0" applyNumberFormat="1" applyFont="1" applyFill="1" applyBorder="1" applyAlignment="1" applyProtection="1">
      <alignment horizontal="center" vertical="center" wrapText="1"/>
      <protection hidden="1"/>
    </xf>
    <xf numFmtId="1" fontId="21" fillId="5" borderId="3" xfId="0" applyNumberFormat="1" applyFont="1" applyFill="1" applyBorder="1" applyAlignment="1" applyProtection="1">
      <alignment horizontal="center" vertical="center" wrapText="1"/>
      <protection hidden="1"/>
    </xf>
    <xf numFmtId="0" fontId="52" fillId="6" borderId="4" xfId="0" applyFont="1" applyFill="1" applyBorder="1" applyAlignment="1" applyProtection="1">
      <alignment horizontal="left" vertical="center" wrapText="1"/>
      <protection hidden="1"/>
    </xf>
    <xf numFmtId="0" fontId="21" fillId="5" borderId="5" xfId="0" applyFont="1" applyFill="1" applyBorder="1" applyAlignment="1" applyProtection="1">
      <alignment horizontal="center" vertical="center" wrapText="1"/>
      <protection hidden="1"/>
    </xf>
    <xf numFmtId="0" fontId="21" fillId="5" borderId="9" xfId="0" applyFont="1" applyFill="1" applyBorder="1" applyAlignment="1" applyProtection="1">
      <alignment horizontal="center" vertical="center" wrapText="1"/>
      <protection hidden="1"/>
    </xf>
    <xf numFmtId="0" fontId="21" fillId="5" borderId="2" xfId="0" applyFont="1" applyFill="1" applyBorder="1" applyAlignment="1" applyProtection="1">
      <alignment horizontal="center" vertical="center" wrapText="1"/>
      <protection hidden="1"/>
    </xf>
    <xf numFmtId="0" fontId="21" fillId="5" borderId="4" xfId="0" applyFont="1" applyFill="1" applyBorder="1" applyAlignment="1" applyProtection="1">
      <alignment horizontal="center" vertical="center" wrapText="1"/>
      <protection hidden="1"/>
    </xf>
    <xf numFmtId="0" fontId="21" fillId="5" borderId="3" xfId="0" applyFont="1" applyFill="1" applyBorder="1" applyAlignment="1" applyProtection="1">
      <alignment horizontal="center" vertical="center" wrapText="1"/>
      <protection hidden="1"/>
    </xf>
    <xf numFmtId="0" fontId="0" fillId="0" borderId="5" xfId="0" applyBorder="1" applyAlignment="1" applyProtection="1">
      <alignment horizontal="left" vertical="center" wrapText="1" indent="1"/>
      <protection hidden="1"/>
    </xf>
    <xf numFmtId="0" fontId="0" fillId="0" borderId="6" xfId="0" applyBorder="1" applyAlignment="1" applyProtection="1">
      <alignment horizontal="left" vertical="center" wrapText="1" indent="1"/>
      <protection hidden="1"/>
    </xf>
    <xf numFmtId="0" fontId="18" fillId="0" borderId="5" xfId="0" applyFont="1" applyBorder="1" applyAlignment="1" applyProtection="1">
      <alignment horizontal="left" vertical="center" wrapText="1" indent="1"/>
      <protection hidden="1"/>
    </xf>
    <xf numFmtId="0" fontId="18" fillId="0" borderId="6" xfId="0" applyFont="1" applyBorder="1" applyAlignment="1" applyProtection="1">
      <alignment horizontal="left" vertical="center" wrapText="1" indent="1"/>
      <protection hidden="1"/>
    </xf>
    <xf numFmtId="0" fontId="42" fillId="0" borderId="0" xfId="0" applyFont="1" applyAlignment="1">
      <alignment horizontal="center"/>
    </xf>
  </cellXfs>
  <cellStyles count="4">
    <cellStyle name="Good" xfId="2" builtinId="26"/>
    <cellStyle name="Normal" xfId="0" builtinId="0"/>
    <cellStyle name="Normal 2" xfId="1" xr:uid="{00000000-0005-0000-0000-000003000000}"/>
    <cellStyle name="Percent" xfId="3" builtinId="5"/>
  </cellStyles>
  <dxfs count="5">
    <dxf>
      <font>
        <color theme="0"/>
      </font>
    </dxf>
    <dxf>
      <font>
        <color theme="0"/>
      </font>
    </dxf>
    <dxf>
      <font>
        <color theme="0"/>
      </font>
    </dxf>
    <dxf>
      <font>
        <color rgb="FFFFFF99"/>
      </font>
    </dxf>
    <dxf>
      <font>
        <color theme="0"/>
      </font>
    </dxf>
  </dxfs>
  <tableStyles count="0" defaultTableStyle="TableStyleMedium9" defaultPivotStyle="PivotStyleLight16"/>
  <colors>
    <mruColors>
      <color rgb="FFCCFFCC"/>
      <color rgb="FF00A3D8"/>
      <color rgb="FFCCFFFF"/>
      <color rgb="FFFFFF99"/>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CA8E2-0FED-48D9-B903-FD4F6C6D1B57}">
  <sheetPr>
    <tabColor rgb="FF92D050"/>
    <pageSetUpPr autoPageBreaks="0" fitToPage="1"/>
  </sheetPr>
  <dimension ref="A1:V73"/>
  <sheetViews>
    <sheetView showGridLines="0" tabSelected="1" workbookViewId="0"/>
  </sheetViews>
  <sheetFormatPr defaultColWidth="8.81640625" defaultRowHeight="14.5" customHeight="1" x14ac:dyDescent="0.35"/>
  <cols>
    <col min="1" max="1" width="2.1796875" style="86" customWidth="1"/>
    <col min="2" max="2" width="7.81640625" style="87" customWidth="1"/>
    <col min="3" max="3" width="13.453125" style="87" customWidth="1"/>
    <col min="4" max="4" width="11.54296875" style="87" customWidth="1"/>
    <col min="5" max="5" width="12.54296875" style="87" customWidth="1"/>
    <col min="6" max="6" width="14.54296875" style="87" customWidth="1"/>
    <col min="7" max="7" width="1.453125" style="87" customWidth="1"/>
    <col min="8" max="10" width="15.7265625" style="87" customWidth="1"/>
    <col min="11" max="11" width="14.54296875" style="87" customWidth="1"/>
    <col min="12" max="12" width="1.453125" style="87" customWidth="1"/>
    <col min="13" max="14" width="13.54296875" style="87" customWidth="1"/>
    <col min="15" max="15" width="12.54296875" style="87" customWidth="1"/>
    <col min="16" max="16" width="14.54296875" style="87" customWidth="1"/>
    <col min="17" max="17" width="1.453125" style="87" customWidth="1"/>
    <col min="18" max="19" width="13.54296875" style="87" customWidth="1"/>
    <col min="20" max="20" width="12.54296875" style="87" customWidth="1"/>
    <col min="21" max="21" width="14.54296875" style="87" customWidth="1"/>
    <col min="22" max="22" width="2.1796875" style="86" customWidth="1"/>
    <col min="23" max="16384" width="8.81640625" style="85"/>
  </cols>
  <sheetData>
    <row r="1" spans="1:22" ht="46" customHeight="1" x14ac:dyDescent="0.35">
      <c r="A1" s="1"/>
      <c r="B1" s="115" t="s">
        <v>217</v>
      </c>
      <c r="C1" s="116"/>
      <c r="D1" s="116"/>
      <c r="E1" s="3"/>
      <c r="F1" s="116"/>
      <c r="G1" s="116"/>
      <c r="H1" s="116"/>
      <c r="I1" s="116"/>
      <c r="J1" s="116"/>
      <c r="K1" s="116"/>
      <c r="L1" s="116"/>
      <c r="M1" s="116"/>
      <c r="N1" s="116"/>
      <c r="O1" s="116"/>
      <c r="P1" s="116"/>
      <c r="Q1" s="116"/>
      <c r="R1" s="116"/>
      <c r="S1" s="3"/>
      <c r="T1" s="3"/>
      <c r="U1" s="117"/>
    </row>
    <row r="2" spans="1:22" ht="44.25" customHeight="1" x14ac:dyDescent="0.75">
      <c r="A2" s="1"/>
      <c r="B2" s="118" t="s">
        <v>77</v>
      </c>
      <c r="C2" s="116"/>
      <c r="D2" s="116"/>
      <c r="E2" s="3"/>
      <c r="F2" s="116"/>
      <c r="G2" s="116"/>
      <c r="H2" s="116"/>
      <c r="I2" s="116"/>
      <c r="J2" s="116"/>
      <c r="K2" s="116"/>
      <c r="L2" s="116"/>
      <c r="M2" s="116"/>
      <c r="N2" s="116"/>
      <c r="O2" s="116"/>
      <c r="P2" s="116"/>
      <c r="Q2" s="116"/>
      <c r="R2" s="116"/>
      <c r="S2" s="3"/>
      <c r="T2" s="3"/>
      <c r="U2" s="117"/>
    </row>
    <row r="3" spans="1:22" ht="14.5" customHeight="1" x14ac:dyDescent="0.35">
      <c r="A3" s="119"/>
      <c r="B3" s="120"/>
      <c r="C3" s="121"/>
      <c r="D3" s="121"/>
      <c r="E3" s="121"/>
      <c r="F3" s="121"/>
      <c r="G3" s="122"/>
      <c r="H3" s="121"/>
      <c r="I3" s="122"/>
      <c r="J3" s="122"/>
      <c r="K3" s="119"/>
      <c r="L3" s="122"/>
      <c r="M3" s="123"/>
      <c r="N3" s="124"/>
      <c r="O3" s="124"/>
      <c r="P3" s="125"/>
      <c r="Q3" s="122"/>
      <c r="R3" s="119"/>
      <c r="S3" s="122"/>
      <c r="T3" s="122"/>
      <c r="U3" s="119"/>
      <c r="V3" s="88"/>
    </row>
    <row r="4" spans="1:22" ht="23.5" x14ac:dyDescent="0.55000000000000004">
      <c r="A4" s="126"/>
      <c r="B4" s="127" t="s">
        <v>130</v>
      </c>
      <c r="C4" s="127"/>
      <c r="D4" s="127"/>
      <c r="E4" s="127"/>
      <c r="F4" s="127"/>
      <c r="G4" s="127"/>
      <c r="H4" s="127"/>
      <c r="I4" s="127"/>
      <c r="J4" s="127"/>
      <c r="K4" s="127"/>
      <c r="L4" s="127"/>
      <c r="M4" s="127"/>
      <c r="N4" s="127"/>
      <c r="O4" s="127"/>
      <c r="P4" s="127"/>
      <c r="Q4" s="127"/>
      <c r="R4" s="127"/>
      <c r="S4" s="127"/>
      <c r="T4" s="127"/>
      <c r="U4" s="128"/>
    </row>
    <row r="5" spans="1:22" x14ac:dyDescent="0.35">
      <c r="M5" s="90"/>
      <c r="N5" s="91"/>
      <c r="O5" s="91"/>
      <c r="P5" s="91"/>
    </row>
    <row r="6" spans="1:22" x14ac:dyDescent="0.35">
      <c r="B6" s="86"/>
      <c r="D6" s="86"/>
      <c r="E6" s="86"/>
      <c r="F6" s="86"/>
      <c r="G6" s="86"/>
      <c r="H6" s="129" t="s">
        <v>26</v>
      </c>
      <c r="I6" s="239"/>
      <c r="J6" s="239"/>
      <c r="K6" s="239"/>
      <c r="L6" s="93"/>
      <c r="R6" s="88"/>
      <c r="S6" s="88"/>
      <c r="T6" s="88"/>
      <c r="U6" s="88"/>
    </row>
    <row r="7" spans="1:22" x14ac:dyDescent="0.35">
      <c r="B7" s="86"/>
      <c r="D7" s="86"/>
      <c r="E7" s="86"/>
      <c r="F7" s="86"/>
      <c r="G7" s="86"/>
      <c r="H7" s="129" t="s">
        <v>38</v>
      </c>
      <c r="I7" s="239"/>
      <c r="J7" s="239"/>
      <c r="K7" s="239"/>
      <c r="L7" s="93"/>
      <c r="R7" s="88"/>
      <c r="S7" s="88"/>
      <c r="T7" s="88"/>
      <c r="U7" s="88"/>
    </row>
    <row r="8" spans="1:22" x14ac:dyDescent="0.35">
      <c r="H8" s="129" t="s">
        <v>25</v>
      </c>
      <c r="I8" s="240" t="s">
        <v>4</v>
      </c>
      <c r="J8" s="241"/>
      <c r="K8" s="242"/>
      <c r="L8" s="93"/>
      <c r="M8" s="90"/>
      <c r="N8" s="91"/>
      <c r="O8" s="91"/>
      <c r="P8" s="91"/>
    </row>
    <row r="9" spans="1:22" ht="6" customHeight="1" x14ac:dyDescent="0.35">
      <c r="H9" s="92"/>
      <c r="L9" s="93"/>
      <c r="M9" s="90"/>
      <c r="N9" s="91"/>
      <c r="O9" s="91"/>
      <c r="P9" s="91"/>
    </row>
    <row r="10" spans="1:22" ht="15" customHeight="1" x14ac:dyDescent="0.35">
      <c r="H10" s="209" t="s">
        <v>44</v>
      </c>
      <c r="I10" s="209"/>
      <c r="J10" s="3"/>
      <c r="K10" s="94" t="s">
        <v>4</v>
      </c>
      <c r="M10" s="95"/>
      <c r="N10" s="91"/>
      <c r="O10" s="91"/>
      <c r="P10" s="91"/>
    </row>
    <row r="11" spans="1:22" x14ac:dyDescent="0.35">
      <c r="H11" s="209" t="s">
        <v>40</v>
      </c>
      <c r="I11" s="209"/>
      <c r="J11" s="3"/>
      <c r="K11" s="96"/>
      <c r="M11" s="90"/>
      <c r="N11" s="91"/>
      <c r="O11" s="91"/>
      <c r="P11" s="91"/>
    </row>
    <row r="12" spans="1:22" x14ac:dyDescent="0.35">
      <c r="H12" s="3" t="s">
        <v>23</v>
      </c>
      <c r="I12" s="3"/>
      <c r="J12" s="3"/>
      <c r="K12" s="96"/>
      <c r="M12" s="90"/>
      <c r="N12" s="91"/>
      <c r="O12" s="91"/>
      <c r="P12" s="91"/>
    </row>
    <row r="13" spans="1:22" ht="15" x14ac:dyDescent="0.35">
      <c r="H13" s="3" t="s">
        <v>39</v>
      </c>
      <c r="I13" s="3"/>
      <c r="J13" s="3"/>
      <c r="K13" s="20" t="str">
        <f>IFERROR(K12/(K11/1000),"")</f>
        <v/>
      </c>
      <c r="M13" s="90"/>
      <c r="N13" s="91"/>
      <c r="O13" s="91"/>
      <c r="P13" s="91"/>
    </row>
    <row r="14" spans="1:22" x14ac:dyDescent="0.35">
      <c r="H14" s="224" t="s">
        <v>147</v>
      </c>
      <c r="I14" s="224"/>
      <c r="J14" s="225"/>
      <c r="K14" s="97"/>
      <c r="M14" s="90"/>
      <c r="N14" s="91"/>
      <c r="O14" s="91"/>
      <c r="P14" s="91"/>
    </row>
    <row r="15" spans="1:22" ht="15" x14ac:dyDescent="0.35">
      <c r="H15" s="224" t="s">
        <v>148</v>
      </c>
      <c r="I15" s="224"/>
      <c r="J15" s="225"/>
      <c r="K15" s="21" t="str">
        <f>IFERROR(K13/(1-K14),"")</f>
        <v/>
      </c>
      <c r="M15" s="90"/>
      <c r="N15" s="91"/>
      <c r="O15" s="91"/>
      <c r="P15" s="91"/>
    </row>
    <row r="16" spans="1:22" x14ac:dyDescent="0.35">
      <c r="H16" s="130" t="s">
        <v>41</v>
      </c>
      <c r="I16" s="130"/>
      <c r="J16" s="130"/>
      <c r="K16" s="96"/>
      <c r="M16" s="90"/>
      <c r="N16" s="91"/>
      <c r="O16" s="91"/>
      <c r="P16" s="91"/>
    </row>
    <row r="17" spans="1:22" ht="6" customHeight="1" x14ac:dyDescent="0.35">
      <c r="A17" s="85"/>
      <c r="B17" s="85"/>
      <c r="C17" s="85"/>
      <c r="D17" s="85"/>
      <c r="E17" s="85"/>
      <c r="F17" s="85"/>
      <c r="G17" s="85"/>
      <c r="H17" s="131"/>
      <c r="I17" s="131"/>
      <c r="J17" s="131"/>
      <c r="K17" s="85"/>
      <c r="L17" s="85"/>
      <c r="M17" s="85"/>
      <c r="N17" s="85"/>
      <c r="O17" s="85"/>
      <c r="P17" s="85"/>
      <c r="Q17" s="85"/>
      <c r="R17" s="85"/>
      <c r="S17" s="85"/>
      <c r="T17" s="85"/>
      <c r="U17" s="85"/>
      <c r="V17" s="85"/>
    </row>
    <row r="18" spans="1:22" ht="15" x14ac:dyDescent="0.35">
      <c r="H18" s="132" t="s">
        <v>124</v>
      </c>
      <c r="I18" s="133"/>
      <c r="J18" s="134"/>
      <c r="K18" s="99" t="s">
        <v>4</v>
      </c>
      <c r="M18" s="90"/>
      <c r="N18" s="91"/>
      <c r="O18" s="91"/>
      <c r="P18" s="91"/>
    </row>
    <row r="19" spans="1:22" ht="15" x14ac:dyDescent="0.35">
      <c r="H19" s="132" t="s">
        <v>123</v>
      </c>
      <c r="I19" s="132"/>
      <c r="J19" s="135"/>
      <c r="K19" s="99" t="s">
        <v>4</v>
      </c>
      <c r="M19" s="90"/>
      <c r="N19" s="91"/>
      <c r="O19" s="91"/>
      <c r="P19" s="91"/>
    </row>
    <row r="20" spans="1:22" ht="6" customHeight="1" x14ac:dyDescent="0.35">
      <c r="A20" s="85"/>
      <c r="B20" s="85"/>
      <c r="C20" s="85"/>
      <c r="D20" s="85"/>
      <c r="E20" s="85"/>
      <c r="F20" s="85"/>
      <c r="G20" s="85"/>
      <c r="H20" s="131"/>
      <c r="I20" s="131"/>
      <c r="J20" s="131"/>
      <c r="K20" s="85"/>
      <c r="L20" s="85"/>
      <c r="M20" s="85"/>
      <c r="N20" s="85"/>
      <c r="O20" s="85"/>
      <c r="P20" s="85"/>
      <c r="Q20" s="85"/>
      <c r="R20" s="85"/>
      <c r="S20" s="85"/>
      <c r="T20" s="85"/>
      <c r="U20" s="85"/>
      <c r="V20" s="85"/>
    </row>
    <row r="21" spans="1:22" x14ac:dyDescent="0.35">
      <c r="H21" s="132" t="s">
        <v>118</v>
      </c>
      <c r="I21" s="133"/>
      <c r="J21" s="134"/>
      <c r="K21" s="99" t="s">
        <v>4</v>
      </c>
      <c r="M21" s="90"/>
      <c r="N21" s="86"/>
      <c r="O21" s="86"/>
      <c r="P21" s="91"/>
    </row>
    <row r="22" spans="1:22" ht="15" x14ac:dyDescent="0.35">
      <c r="H22" s="134" t="s">
        <v>80</v>
      </c>
      <c r="I22" s="133"/>
      <c r="J22" s="3"/>
      <c r="K22" s="100"/>
      <c r="M22" s="90"/>
      <c r="N22" s="91"/>
      <c r="O22" s="91"/>
      <c r="P22" s="91"/>
    </row>
    <row r="23" spans="1:22" ht="6" customHeight="1" x14ac:dyDescent="0.35">
      <c r="H23" s="132"/>
      <c r="I23" s="133"/>
      <c r="J23" s="134"/>
      <c r="K23" s="101"/>
      <c r="M23" s="90"/>
      <c r="N23" s="91"/>
      <c r="O23" s="91"/>
      <c r="P23" s="91"/>
    </row>
    <row r="24" spans="1:22" x14ac:dyDescent="0.35">
      <c r="H24" s="136" t="s">
        <v>79</v>
      </c>
      <c r="I24" s="134"/>
      <c r="J24" s="134"/>
      <c r="K24" s="91"/>
      <c r="M24" s="90"/>
      <c r="N24" s="91"/>
      <c r="O24" s="91"/>
      <c r="P24" s="91"/>
    </row>
    <row r="25" spans="1:22" x14ac:dyDescent="0.35">
      <c r="H25" s="136" t="s">
        <v>125</v>
      </c>
      <c r="I25" s="134"/>
      <c r="J25" s="134"/>
      <c r="K25" s="91"/>
      <c r="M25" s="90"/>
      <c r="N25" s="91"/>
      <c r="O25" s="91"/>
      <c r="P25" s="91"/>
    </row>
    <row r="26" spans="1:22" x14ac:dyDescent="0.35">
      <c r="M26" s="90"/>
      <c r="N26" s="91"/>
      <c r="O26" s="91"/>
      <c r="P26" s="91"/>
    </row>
    <row r="27" spans="1:22" ht="23.5" x14ac:dyDescent="0.55000000000000004">
      <c r="A27" s="89"/>
      <c r="B27" s="127" t="s">
        <v>131</v>
      </c>
      <c r="C27" s="127"/>
      <c r="D27" s="127"/>
      <c r="E27" s="127"/>
      <c r="F27" s="127"/>
      <c r="G27" s="127"/>
      <c r="H27" s="127"/>
      <c r="I27" s="127"/>
      <c r="J27" s="127"/>
      <c r="K27" s="127"/>
      <c r="L27" s="127"/>
      <c r="M27" s="127"/>
      <c r="N27" s="127"/>
      <c r="O27" s="127"/>
      <c r="P27" s="127"/>
      <c r="Q27" s="127"/>
      <c r="R27" s="127"/>
      <c r="S27" s="127"/>
      <c r="T27" s="127"/>
      <c r="U27" s="128"/>
    </row>
    <row r="28" spans="1:22" x14ac:dyDescent="0.35">
      <c r="E28" s="86"/>
      <c r="F28" s="86"/>
      <c r="G28" s="86"/>
      <c r="H28" s="86"/>
      <c r="I28" s="86"/>
      <c r="J28" s="86"/>
      <c r="K28" s="86"/>
      <c r="L28" s="86"/>
      <c r="M28" s="86"/>
      <c r="N28" s="86"/>
      <c r="O28" s="86"/>
      <c r="P28" s="86"/>
      <c r="Q28" s="86"/>
      <c r="R28" s="86"/>
      <c r="S28" s="86"/>
      <c r="T28" s="86"/>
      <c r="U28" s="86"/>
    </row>
    <row r="29" spans="1:22" x14ac:dyDescent="0.35">
      <c r="C29" s="137" t="s">
        <v>72</v>
      </c>
      <c r="D29" s="232"/>
      <c r="E29" s="233"/>
      <c r="F29" s="234"/>
      <c r="G29" s="86"/>
      <c r="H29" s="137" t="s">
        <v>72</v>
      </c>
      <c r="I29" s="232"/>
      <c r="J29" s="233"/>
      <c r="K29" s="234"/>
      <c r="L29" s="86"/>
      <c r="M29" s="137" t="s">
        <v>72</v>
      </c>
      <c r="N29" s="232"/>
      <c r="O29" s="233"/>
      <c r="P29" s="234"/>
      <c r="Q29" s="86"/>
      <c r="R29" s="137" t="s">
        <v>72</v>
      </c>
      <c r="S29" s="232"/>
      <c r="T29" s="233"/>
      <c r="U29" s="234"/>
    </row>
    <row r="30" spans="1:22" ht="6.75" customHeight="1" x14ac:dyDescent="0.35">
      <c r="C30" s="102"/>
      <c r="D30" s="103"/>
      <c r="E30" s="103"/>
      <c r="F30" s="86"/>
      <c r="G30" s="86"/>
      <c r="H30" s="102"/>
      <c r="I30" s="103"/>
      <c r="J30" s="103"/>
      <c r="K30" s="86"/>
      <c r="L30" s="86"/>
      <c r="M30" s="102"/>
      <c r="N30" s="103"/>
      <c r="O30" s="103"/>
      <c r="P30" s="86"/>
      <c r="Q30" s="86"/>
      <c r="R30" s="102"/>
      <c r="S30" s="103"/>
      <c r="T30" s="103"/>
      <c r="U30" s="86"/>
    </row>
    <row r="31" spans="1:22" x14ac:dyDescent="0.35">
      <c r="B31" s="104"/>
      <c r="C31" s="86"/>
      <c r="D31" s="86"/>
      <c r="E31" s="138" t="s">
        <v>24</v>
      </c>
      <c r="F31" s="99" t="s">
        <v>4</v>
      </c>
      <c r="H31" s="86"/>
      <c r="I31" s="91"/>
      <c r="J31" s="138" t="s">
        <v>24</v>
      </c>
      <c r="K31" s="99" t="s">
        <v>4</v>
      </c>
      <c r="M31" s="86"/>
      <c r="N31" s="86"/>
      <c r="O31" s="138" t="s">
        <v>24</v>
      </c>
      <c r="P31" s="99" t="s">
        <v>4</v>
      </c>
      <c r="R31" s="86"/>
      <c r="S31" s="86"/>
      <c r="T31" s="138" t="s">
        <v>24</v>
      </c>
      <c r="U31" s="99" t="s">
        <v>4</v>
      </c>
    </row>
    <row r="32" spans="1:22" ht="14.5" customHeight="1" x14ac:dyDescent="0.35">
      <c r="A32" s="105"/>
      <c r="B32" s="235" t="s">
        <v>19</v>
      </c>
      <c r="C32" s="230" t="s">
        <v>69</v>
      </c>
      <c r="D32" s="230" t="s">
        <v>70</v>
      </c>
      <c r="E32" s="230" t="s">
        <v>81</v>
      </c>
      <c r="F32" s="235" t="s">
        <v>18</v>
      </c>
      <c r="G32" s="139"/>
      <c r="H32" s="230" t="s">
        <v>69</v>
      </c>
      <c r="I32" s="230" t="s">
        <v>70</v>
      </c>
      <c r="J32" s="230" t="s">
        <v>71</v>
      </c>
      <c r="K32" s="235" t="s">
        <v>18</v>
      </c>
      <c r="L32" s="139"/>
      <c r="M32" s="230" t="s">
        <v>69</v>
      </c>
      <c r="N32" s="230" t="s">
        <v>70</v>
      </c>
      <c r="O32" s="230" t="s">
        <v>71</v>
      </c>
      <c r="P32" s="235" t="s">
        <v>18</v>
      </c>
      <c r="Q32" s="139"/>
      <c r="R32" s="230" t="s">
        <v>69</v>
      </c>
      <c r="S32" s="230" t="s">
        <v>70</v>
      </c>
      <c r="T32" s="230" t="s">
        <v>71</v>
      </c>
      <c r="U32" s="235" t="s">
        <v>18</v>
      </c>
      <c r="V32" s="105"/>
    </row>
    <row r="33" spans="1:22" x14ac:dyDescent="0.35">
      <c r="A33" s="105"/>
      <c r="B33" s="236"/>
      <c r="C33" s="236"/>
      <c r="D33" s="236"/>
      <c r="E33" s="236"/>
      <c r="F33" s="236"/>
      <c r="G33" s="139"/>
      <c r="H33" s="236"/>
      <c r="I33" s="236"/>
      <c r="J33" s="236"/>
      <c r="K33" s="236"/>
      <c r="L33" s="139"/>
      <c r="M33" s="236"/>
      <c r="N33" s="236"/>
      <c r="O33" s="236"/>
      <c r="P33" s="236"/>
      <c r="Q33" s="139"/>
      <c r="R33" s="236"/>
      <c r="S33" s="236"/>
      <c r="T33" s="236"/>
      <c r="U33" s="236"/>
      <c r="V33" s="105"/>
    </row>
    <row r="34" spans="1:22" x14ac:dyDescent="0.35">
      <c r="B34" s="5" t="s">
        <v>6</v>
      </c>
      <c r="C34" s="106"/>
      <c r="D34" s="106"/>
      <c r="E34" s="22">
        <f>ROUND(D34-C34,2)</f>
        <v>0</v>
      </c>
      <c r="F34" s="107"/>
      <c r="H34" s="106"/>
      <c r="I34" s="106"/>
      <c r="J34" s="23">
        <f t="shared" ref="J34:J45" si="0">I34-H34</f>
        <v>0</v>
      </c>
      <c r="K34" s="107"/>
      <c r="M34" s="106"/>
      <c r="N34" s="106"/>
      <c r="O34" s="23">
        <f t="shared" ref="O34:O45" si="1">N34-M34</f>
        <v>0</v>
      </c>
      <c r="P34" s="107"/>
      <c r="R34" s="106"/>
      <c r="S34" s="106"/>
      <c r="T34" s="23">
        <f t="shared" ref="T34:T45" si="2">S34-R34</f>
        <v>0</v>
      </c>
      <c r="U34" s="107"/>
      <c r="V34" s="87"/>
    </row>
    <row r="35" spans="1:22" x14ac:dyDescent="0.35">
      <c r="B35" s="5" t="s">
        <v>7</v>
      </c>
      <c r="C35" s="106"/>
      <c r="D35" s="106"/>
      <c r="E35" s="22">
        <f t="shared" ref="E35:E45" si="3">ROUND(D35-C35,2)</f>
        <v>0</v>
      </c>
      <c r="F35" s="107"/>
      <c r="H35" s="106"/>
      <c r="I35" s="106"/>
      <c r="J35" s="23">
        <f t="shared" si="0"/>
        <v>0</v>
      </c>
      <c r="K35" s="107"/>
      <c r="M35" s="106"/>
      <c r="N35" s="106"/>
      <c r="O35" s="23">
        <f t="shared" si="1"/>
        <v>0</v>
      </c>
      <c r="P35" s="107"/>
      <c r="R35" s="106"/>
      <c r="S35" s="106"/>
      <c r="T35" s="23">
        <f t="shared" si="2"/>
        <v>0</v>
      </c>
      <c r="U35" s="107"/>
      <c r="V35" s="87"/>
    </row>
    <row r="36" spans="1:22" x14ac:dyDescent="0.35">
      <c r="B36" s="5" t="s">
        <v>8</v>
      </c>
      <c r="C36" s="106"/>
      <c r="D36" s="106"/>
      <c r="E36" s="22">
        <f t="shared" si="3"/>
        <v>0</v>
      </c>
      <c r="F36" s="107"/>
      <c r="H36" s="106"/>
      <c r="I36" s="106"/>
      <c r="J36" s="23">
        <f t="shared" si="0"/>
        <v>0</v>
      </c>
      <c r="K36" s="107"/>
      <c r="M36" s="106"/>
      <c r="N36" s="106"/>
      <c r="O36" s="23">
        <f t="shared" si="1"/>
        <v>0</v>
      </c>
      <c r="P36" s="107"/>
      <c r="R36" s="106"/>
      <c r="S36" s="106"/>
      <c r="T36" s="23">
        <f t="shared" si="2"/>
        <v>0</v>
      </c>
      <c r="U36" s="107"/>
      <c r="V36" s="87"/>
    </row>
    <row r="37" spans="1:22" x14ac:dyDescent="0.35">
      <c r="B37" s="5" t="s">
        <v>9</v>
      </c>
      <c r="C37" s="106"/>
      <c r="D37" s="106"/>
      <c r="E37" s="22">
        <f t="shared" si="3"/>
        <v>0</v>
      </c>
      <c r="F37" s="107"/>
      <c r="H37" s="106"/>
      <c r="I37" s="106"/>
      <c r="J37" s="23">
        <f t="shared" si="0"/>
        <v>0</v>
      </c>
      <c r="K37" s="107"/>
      <c r="M37" s="106"/>
      <c r="N37" s="106"/>
      <c r="O37" s="23">
        <f t="shared" si="1"/>
        <v>0</v>
      </c>
      <c r="P37" s="107"/>
      <c r="R37" s="106"/>
      <c r="S37" s="106"/>
      <c r="T37" s="23">
        <f t="shared" si="2"/>
        <v>0</v>
      </c>
      <c r="U37" s="107"/>
      <c r="V37" s="87"/>
    </row>
    <row r="38" spans="1:22" x14ac:dyDescent="0.35">
      <c r="B38" s="5" t="s">
        <v>10</v>
      </c>
      <c r="C38" s="106"/>
      <c r="D38" s="106"/>
      <c r="E38" s="22">
        <f t="shared" si="3"/>
        <v>0</v>
      </c>
      <c r="F38" s="107"/>
      <c r="H38" s="106"/>
      <c r="I38" s="106"/>
      <c r="J38" s="23">
        <f t="shared" si="0"/>
        <v>0</v>
      </c>
      <c r="K38" s="107"/>
      <c r="M38" s="106"/>
      <c r="N38" s="106"/>
      <c r="O38" s="23">
        <f t="shared" si="1"/>
        <v>0</v>
      </c>
      <c r="P38" s="107"/>
      <c r="R38" s="106"/>
      <c r="S38" s="106"/>
      <c r="T38" s="23">
        <f t="shared" si="2"/>
        <v>0</v>
      </c>
      <c r="U38" s="107"/>
      <c r="V38" s="87"/>
    </row>
    <row r="39" spans="1:22" x14ac:dyDescent="0.35">
      <c r="B39" s="5" t="s">
        <v>11</v>
      </c>
      <c r="C39" s="106"/>
      <c r="D39" s="106"/>
      <c r="E39" s="22">
        <f t="shared" si="3"/>
        <v>0</v>
      </c>
      <c r="F39" s="107"/>
      <c r="H39" s="106"/>
      <c r="I39" s="106"/>
      <c r="J39" s="23">
        <f t="shared" si="0"/>
        <v>0</v>
      </c>
      <c r="K39" s="107"/>
      <c r="M39" s="106"/>
      <c r="N39" s="106"/>
      <c r="O39" s="23">
        <f t="shared" si="1"/>
        <v>0</v>
      </c>
      <c r="P39" s="107"/>
      <c r="R39" s="106"/>
      <c r="S39" s="106"/>
      <c r="T39" s="23">
        <f t="shared" si="2"/>
        <v>0</v>
      </c>
      <c r="U39" s="107"/>
      <c r="V39" s="87"/>
    </row>
    <row r="40" spans="1:22" x14ac:dyDescent="0.35">
      <c r="B40" s="5" t="s">
        <v>12</v>
      </c>
      <c r="C40" s="106"/>
      <c r="D40" s="106"/>
      <c r="E40" s="22">
        <f t="shared" si="3"/>
        <v>0</v>
      </c>
      <c r="F40" s="107"/>
      <c r="H40" s="106"/>
      <c r="I40" s="106"/>
      <c r="J40" s="23">
        <f t="shared" si="0"/>
        <v>0</v>
      </c>
      <c r="K40" s="107"/>
      <c r="M40" s="106"/>
      <c r="N40" s="106"/>
      <c r="O40" s="23">
        <f t="shared" si="1"/>
        <v>0</v>
      </c>
      <c r="P40" s="107"/>
      <c r="R40" s="106"/>
      <c r="S40" s="106"/>
      <c r="T40" s="23">
        <f t="shared" si="2"/>
        <v>0</v>
      </c>
      <c r="U40" s="107"/>
      <c r="V40" s="87"/>
    </row>
    <row r="41" spans="1:22" x14ac:dyDescent="0.35">
      <c r="B41" s="5" t="s">
        <v>13</v>
      </c>
      <c r="C41" s="106"/>
      <c r="D41" s="106"/>
      <c r="E41" s="22">
        <f t="shared" si="3"/>
        <v>0</v>
      </c>
      <c r="F41" s="107"/>
      <c r="H41" s="106"/>
      <c r="I41" s="106"/>
      <c r="J41" s="23">
        <f t="shared" si="0"/>
        <v>0</v>
      </c>
      <c r="K41" s="107"/>
      <c r="M41" s="106"/>
      <c r="N41" s="106"/>
      <c r="O41" s="23">
        <f t="shared" si="1"/>
        <v>0</v>
      </c>
      <c r="P41" s="107"/>
      <c r="R41" s="106"/>
      <c r="S41" s="106"/>
      <c r="T41" s="23">
        <f t="shared" si="2"/>
        <v>0</v>
      </c>
      <c r="U41" s="107"/>
      <c r="V41" s="87"/>
    </row>
    <row r="42" spans="1:22" x14ac:dyDescent="0.35">
      <c r="B42" s="5" t="s">
        <v>14</v>
      </c>
      <c r="C42" s="106"/>
      <c r="D42" s="106"/>
      <c r="E42" s="22">
        <f t="shared" si="3"/>
        <v>0</v>
      </c>
      <c r="F42" s="107"/>
      <c r="H42" s="106"/>
      <c r="I42" s="106"/>
      <c r="J42" s="23">
        <f t="shared" si="0"/>
        <v>0</v>
      </c>
      <c r="K42" s="107"/>
      <c r="M42" s="106"/>
      <c r="N42" s="106"/>
      <c r="O42" s="23">
        <f t="shared" si="1"/>
        <v>0</v>
      </c>
      <c r="P42" s="107"/>
      <c r="R42" s="106"/>
      <c r="S42" s="106"/>
      <c r="T42" s="23">
        <f t="shared" si="2"/>
        <v>0</v>
      </c>
      <c r="U42" s="107"/>
      <c r="V42" s="87"/>
    </row>
    <row r="43" spans="1:22" x14ac:dyDescent="0.35">
      <c r="B43" s="5" t="s">
        <v>15</v>
      </c>
      <c r="C43" s="106"/>
      <c r="D43" s="106"/>
      <c r="E43" s="22">
        <f t="shared" si="3"/>
        <v>0</v>
      </c>
      <c r="F43" s="107"/>
      <c r="H43" s="106"/>
      <c r="I43" s="106"/>
      <c r="J43" s="23">
        <f t="shared" si="0"/>
        <v>0</v>
      </c>
      <c r="K43" s="107"/>
      <c r="M43" s="106"/>
      <c r="N43" s="106"/>
      <c r="O43" s="23">
        <f t="shared" si="1"/>
        <v>0</v>
      </c>
      <c r="P43" s="107"/>
      <c r="R43" s="106"/>
      <c r="S43" s="106"/>
      <c r="T43" s="23">
        <f t="shared" si="2"/>
        <v>0</v>
      </c>
      <c r="U43" s="107"/>
      <c r="V43" s="87"/>
    </row>
    <row r="44" spans="1:22" x14ac:dyDescent="0.35">
      <c r="B44" s="5" t="s">
        <v>16</v>
      </c>
      <c r="C44" s="106"/>
      <c r="D44" s="106"/>
      <c r="E44" s="22">
        <f t="shared" si="3"/>
        <v>0</v>
      </c>
      <c r="F44" s="107"/>
      <c r="H44" s="106"/>
      <c r="I44" s="106"/>
      <c r="J44" s="23">
        <f t="shared" si="0"/>
        <v>0</v>
      </c>
      <c r="K44" s="107"/>
      <c r="M44" s="106"/>
      <c r="N44" s="106"/>
      <c r="O44" s="23">
        <f t="shared" si="1"/>
        <v>0</v>
      </c>
      <c r="P44" s="107"/>
      <c r="R44" s="106"/>
      <c r="S44" s="106"/>
      <c r="T44" s="23">
        <f t="shared" si="2"/>
        <v>0</v>
      </c>
      <c r="U44" s="107"/>
      <c r="V44" s="87"/>
    </row>
    <row r="45" spans="1:22" x14ac:dyDescent="0.35">
      <c r="B45" s="5" t="s">
        <v>17</v>
      </c>
      <c r="C45" s="106"/>
      <c r="D45" s="106"/>
      <c r="E45" s="22">
        <f t="shared" si="3"/>
        <v>0</v>
      </c>
      <c r="F45" s="107"/>
      <c r="H45" s="106"/>
      <c r="I45" s="106"/>
      <c r="J45" s="23">
        <f t="shared" si="0"/>
        <v>0</v>
      </c>
      <c r="K45" s="107"/>
      <c r="M45" s="106"/>
      <c r="N45" s="106"/>
      <c r="O45" s="23">
        <f t="shared" si="1"/>
        <v>0</v>
      </c>
      <c r="P45" s="107"/>
      <c r="R45" s="106"/>
      <c r="S45" s="106"/>
      <c r="T45" s="23">
        <f t="shared" si="2"/>
        <v>0</v>
      </c>
      <c r="U45" s="107"/>
      <c r="V45" s="87"/>
    </row>
    <row r="46" spans="1:22" x14ac:dyDescent="0.35">
      <c r="E46" s="22">
        <f>SUM(E34:E45)</f>
        <v>0</v>
      </c>
      <c r="F46" s="24">
        <f>SUM(F34:F45)</f>
        <v>0</v>
      </c>
      <c r="J46" s="23">
        <f>SUM(J34:J45)</f>
        <v>0</v>
      </c>
      <c r="K46" s="24">
        <f>SUM(K34:K45)</f>
        <v>0</v>
      </c>
      <c r="O46" s="23">
        <f>SUM(O34:O45)</f>
        <v>0</v>
      </c>
      <c r="P46" s="24">
        <f>SUM(P34:P45)</f>
        <v>0</v>
      </c>
      <c r="T46" s="23">
        <f>SUM(T34:T45)</f>
        <v>0</v>
      </c>
      <c r="U46" s="24">
        <f>SUM(U34:U45)</f>
        <v>0</v>
      </c>
    </row>
    <row r="47" spans="1:22" x14ac:dyDescent="0.35">
      <c r="B47" s="3" t="s">
        <v>37</v>
      </c>
      <c r="E47" s="25">
        <v>365</v>
      </c>
      <c r="F47" s="26">
        <f>IF(F46,IF(E46=365,F46,IF(E46&lt;365,SUM(F34:F45)+F45/E45*(365-E46),IF(E46&gt;365,SUM(F34:F45)-F45/E45*(E46-365),0))),0)</f>
        <v>0</v>
      </c>
      <c r="H47" s="3" t="s">
        <v>37</v>
      </c>
      <c r="J47" s="25">
        <v>365</v>
      </c>
      <c r="K47" s="26">
        <f>IF(K46,IF(J46=365,K46,IF(J46&lt;365,SUM(K34:K45)+K45/J45*(365-J46),IF(J46&gt;365,SUM(K34:K45)-K45/J45*(J46-365),0))),0)</f>
        <v>0</v>
      </c>
      <c r="M47" s="3" t="s">
        <v>37</v>
      </c>
      <c r="O47" s="25">
        <v>365</v>
      </c>
      <c r="P47" s="26">
        <f>IF(P46,IF(O46=365,P46,IF(O46&lt;365,SUM(P34:P45)+P45/O45*(365-O46),IF(O46&gt;365,SUM(P34:P45)-P45/O45*(O46-365),0))),0)</f>
        <v>0</v>
      </c>
      <c r="R47" s="3" t="s">
        <v>37</v>
      </c>
      <c r="T47" s="25">
        <v>365</v>
      </c>
      <c r="U47" s="26">
        <f>IF(U46,IF(T46=365,U46,IF(T46&lt;365,SUM(U34:U45)+U45/T45*(365-T46),IF(T46&gt;365,SUM(U34:U45)-U45/T45*(T46-365),0))),0)</f>
        <v>0</v>
      </c>
    </row>
    <row r="48" spans="1:22" x14ac:dyDescent="0.35">
      <c r="B48" s="3" t="s">
        <v>47</v>
      </c>
      <c r="E48" s="108"/>
      <c r="F48" s="27" t="str">
        <f>IFERROR(F47*INDEX('REF - Drop-down Menus'!$F$7:$F$11,MATCH('Data Input'!F31,'REF - Drop-down Menus'!$E$7:$E$11,0)),"")</f>
        <v/>
      </c>
      <c r="H48" s="3" t="s">
        <v>47</v>
      </c>
      <c r="J48" s="108"/>
      <c r="K48" s="27" t="str">
        <f>IFERROR(K47*INDEX('REF - Drop-down Menus'!$F$7:$F$11,MATCH('Data Input'!K31,'REF - Drop-down Menus'!$E$7:$E$11,0)),"")</f>
        <v/>
      </c>
      <c r="M48" s="3" t="s">
        <v>47</v>
      </c>
      <c r="O48" s="108"/>
      <c r="P48" s="27" t="str">
        <f>IFERROR(P47*INDEX('REF - Drop-down Menus'!$F$7:$F$11,MATCH('Data Input'!P31,'REF - Drop-down Menus'!$E$7:$E$11,0)),"")</f>
        <v/>
      </c>
      <c r="R48" s="3" t="s">
        <v>47</v>
      </c>
      <c r="T48" s="108"/>
      <c r="U48" s="27" t="str">
        <f>IFERROR(U47*INDEX('REF - Drop-down Menus'!$F$7:$F$11,MATCH('Data Input'!U31,'REF - Drop-down Menus'!$E$7:$E$11,0)),"")</f>
        <v/>
      </c>
    </row>
    <row r="49" spans="1:22" x14ac:dyDescent="0.35">
      <c r="E49" s="108"/>
      <c r="F49" s="109"/>
      <c r="J49" s="108"/>
      <c r="K49" s="109"/>
      <c r="O49" s="108"/>
      <c r="P49" s="109"/>
      <c r="T49" s="108"/>
      <c r="U49" s="109"/>
    </row>
    <row r="50" spans="1:22" ht="15" x14ac:dyDescent="0.35">
      <c r="A50" s="110"/>
      <c r="B50" s="140" t="s">
        <v>46</v>
      </c>
      <c r="C50" s="91"/>
      <c r="D50" s="91"/>
      <c r="E50" s="28" t="str">
        <f>IF(K11,(IF(F48="",0,F48)+IF(K48="",0,K48)+IF(P48="",0,P48)+IF(U48="",0,U48))/K11,"N/A")</f>
        <v>N/A</v>
      </c>
      <c r="F50" s="134" t="s">
        <v>48</v>
      </c>
      <c r="G50" s="91"/>
      <c r="H50" s="91"/>
      <c r="I50" s="98"/>
      <c r="J50" s="111"/>
      <c r="K50" s="91"/>
      <c r="L50" s="91"/>
      <c r="M50" s="91"/>
      <c r="N50" s="91"/>
      <c r="O50" s="108"/>
      <c r="P50" s="112"/>
      <c r="Q50" s="91"/>
      <c r="R50" s="91"/>
      <c r="S50" s="91"/>
      <c r="T50" s="108"/>
      <c r="U50" s="112"/>
      <c r="V50" s="110"/>
    </row>
    <row r="52" spans="1:22" ht="23.5" x14ac:dyDescent="0.55000000000000004">
      <c r="A52" s="89"/>
      <c r="B52" s="127" t="s">
        <v>132</v>
      </c>
      <c r="C52" s="127"/>
      <c r="D52" s="127"/>
      <c r="E52" s="127"/>
      <c r="F52" s="127"/>
      <c r="G52" s="127"/>
      <c r="H52" s="127"/>
      <c r="I52" s="127"/>
      <c r="J52" s="127"/>
      <c r="K52" s="127"/>
      <c r="L52" s="127"/>
      <c r="M52" s="127"/>
      <c r="N52" s="127"/>
      <c r="O52" s="127"/>
      <c r="P52" s="127"/>
      <c r="Q52" s="127"/>
      <c r="R52" s="127"/>
      <c r="S52" s="127"/>
      <c r="T52" s="127"/>
      <c r="U52" s="128"/>
    </row>
    <row r="53" spans="1:22" x14ac:dyDescent="0.35">
      <c r="B53" s="3"/>
      <c r="C53" s="3"/>
      <c r="D53" s="3"/>
      <c r="E53" s="3"/>
      <c r="F53" s="3"/>
      <c r="G53" s="3"/>
      <c r="H53" s="3"/>
      <c r="I53" s="3"/>
      <c r="J53" s="3"/>
      <c r="K53" s="3"/>
      <c r="L53" s="3"/>
      <c r="M53" s="3"/>
      <c r="N53" s="3"/>
      <c r="O53" s="3"/>
      <c r="P53" s="3"/>
      <c r="Q53" s="3"/>
      <c r="R53" s="3"/>
      <c r="S53" s="3"/>
      <c r="T53" s="3"/>
      <c r="U53" s="3"/>
    </row>
    <row r="54" spans="1:22" ht="28.4" customHeight="1" x14ac:dyDescent="0.35">
      <c r="B54" s="141"/>
      <c r="C54" s="237" t="s">
        <v>66</v>
      </c>
      <c r="D54" s="237"/>
      <c r="E54" s="237"/>
      <c r="F54" s="237"/>
      <c r="G54" s="237"/>
      <c r="H54" s="237"/>
      <c r="I54" s="237"/>
      <c r="J54" s="237"/>
      <c r="K54" s="237"/>
      <c r="L54" s="3"/>
      <c r="M54" s="3"/>
      <c r="N54" s="3"/>
      <c r="O54" s="3"/>
      <c r="P54" s="3"/>
      <c r="Q54" s="3"/>
      <c r="R54" s="3"/>
      <c r="S54" s="3"/>
      <c r="T54" s="3"/>
      <c r="U54" s="3"/>
    </row>
    <row r="55" spans="1:22" ht="23.15" customHeight="1" x14ac:dyDescent="0.35">
      <c r="B55" s="141"/>
      <c r="C55" s="238" t="s">
        <v>83</v>
      </c>
      <c r="D55" s="238"/>
      <c r="E55" s="238"/>
      <c r="F55" s="238"/>
      <c r="G55" s="238"/>
      <c r="H55" s="238"/>
      <c r="I55" s="238"/>
      <c r="J55" s="238"/>
      <c r="K55" s="238"/>
      <c r="L55" s="3"/>
      <c r="M55" s="3"/>
      <c r="N55" s="3"/>
      <c r="O55" s="3"/>
      <c r="P55" s="3"/>
      <c r="Q55" s="3"/>
      <c r="R55" s="3"/>
      <c r="S55" s="3"/>
      <c r="T55" s="3"/>
      <c r="U55" s="3"/>
    </row>
    <row r="56" spans="1:22" ht="29.15" customHeight="1" x14ac:dyDescent="0.35">
      <c r="B56" s="3"/>
      <c r="C56" s="238" t="s">
        <v>82</v>
      </c>
      <c r="D56" s="238"/>
      <c r="E56" s="238"/>
      <c r="F56" s="238"/>
      <c r="G56" s="238"/>
      <c r="H56" s="238"/>
      <c r="I56" s="238"/>
      <c r="J56" s="238"/>
      <c r="K56" s="238"/>
      <c r="L56" s="3"/>
      <c r="M56" s="3"/>
      <c r="N56" s="3"/>
      <c r="O56" s="3"/>
      <c r="P56" s="3"/>
      <c r="Q56" s="3"/>
      <c r="R56" s="3"/>
      <c r="S56" s="3"/>
      <c r="T56" s="3"/>
      <c r="U56" s="3"/>
    </row>
    <row r="57" spans="1:22" x14ac:dyDescent="0.35">
      <c r="C57" s="113"/>
      <c r="D57" s="113"/>
      <c r="E57" s="113"/>
      <c r="F57" s="113"/>
      <c r="G57" s="113"/>
      <c r="H57" s="113"/>
      <c r="I57" s="113"/>
      <c r="J57" s="113"/>
      <c r="K57" s="113"/>
    </row>
    <row r="58" spans="1:22" x14ac:dyDescent="0.35">
      <c r="A58" s="85"/>
      <c r="B58" s="85"/>
      <c r="C58" s="85"/>
      <c r="D58" s="85"/>
      <c r="E58" s="85"/>
      <c r="F58" s="85"/>
      <c r="G58" s="85"/>
      <c r="H58" s="85"/>
      <c r="I58" s="85"/>
      <c r="J58" s="85"/>
      <c r="K58" s="85"/>
      <c r="L58" s="85"/>
      <c r="M58" s="85"/>
      <c r="N58" s="85"/>
      <c r="O58" s="85"/>
      <c r="P58" s="85"/>
      <c r="Q58" s="85"/>
      <c r="R58" s="85"/>
      <c r="S58" s="85"/>
      <c r="T58" s="85"/>
      <c r="U58" s="85"/>
      <c r="V58" s="85"/>
    </row>
    <row r="59" spans="1:22" ht="21" customHeight="1" x14ac:dyDescent="0.35">
      <c r="C59" s="226" t="s">
        <v>57</v>
      </c>
      <c r="D59" s="227"/>
      <c r="E59" s="230" t="s">
        <v>154</v>
      </c>
      <c r="F59" s="216" t="s">
        <v>160</v>
      </c>
      <c r="G59" s="217"/>
      <c r="H59" s="217"/>
      <c r="I59" s="218"/>
      <c r="J59" s="85"/>
      <c r="K59" s="85"/>
    </row>
    <row r="60" spans="1:22" ht="31.5" customHeight="1" x14ac:dyDescent="0.35">
      <c r="C60" s="228"/>
      <c r="D60" s="229"/>
      <c r="E60" s="231"/>
      <c r="F60" s="142" t="s">
        <v>161</v>
      </c>
      <c r="G60" s="216" t="s">
        <v>162</v>
      </c>
      <c r="H60" s="218"/>
      <c r="I60" s="142" t="s">
        <v>163</v>
      </c>
    </row>
    <row r="61" spans="1:22" ht="14.5" customHeight="1" x14ac:dyDescent="0.35">
      <c r="C61" s="221" t="s">
        <v>155</v>
      </c>
      <c r="D61" s="221"/>
      <c r="E61" s="221"/>
      <c r="F61" s="221"/>
      <c r="G61" s="221"/>
      <c r="H61" s="221"/>
      <c r="I61" s="221"/>
    </row>
    <row r="62" spans="1:22" ht="14.5" customHeight="1" x14ac:dyDescent="0.35">
      <c r="C62" s="214" t="s">
        <v>196</v>
      </c>
      <c r="D62" s="215"/>
      <c r="E62" s="100"/>
      <c r="F62" s="100"/>
      <c r="G62" s="219" t="s">
        <v>4</v>
      </c>
      <c r="H62" s="220"/>
      <c r="I62" s="30" t="str">
        <f>IFERROR(F62*INDEX('REF - Drop-down Menus'!$F$7:$F$11,MATCH('Data Input'!G62,'REF - Drop-down Menus'!$E$7:$E$11,0)),"")</f>
        <v/>
      </c>
    </row>
    <row r="63" spans="1:22" ht="14.5" customHeight="1" x14ac:dyDescent="0.35">
      <c r="C63" s="222" t="s">
        <v>58</v>
      </c>
      <c r="D63" s="223"/>
      <c r="E63" s="100"/>
      <c r="F63" s="100"/>
      <c r="G63" s="219" t="s">
        <v>4</v>
      </c>
      <c r="H63" s="220" t="s">
        <v>20</v>
      </c>
      <c r="I63" s="30" t="str">
        <f>IFERROR(F63*INDEX('REF - Drop-down Menus'!$F$7:$F$11,MATCH('Data Input'!G63,'REF - Drop-down Menus'!$E$7:$E$11,0)),"")</f>
        <v/>
      </c>
    </row>
    <row r="64" spans="1:22" ht="14.5" customHeight="1" x14ac:dyDescent="0.35">
      <c r="C64" s="222" t="s">
        <v>58</v>
      </c>
      <c r="D64" s="223"/>
      <c r="E64" s="100"/>
      <c r="F64" s="100"/>
      <c r="G64" s="219" t="s">
        <v>4</v>
      </c>
      <c r="H64" s="220" t="s">
        <v>20</v>
      </c>
      <c r="I64" s="30" t="str">
        <f>IFERROR(F64*INDEX('REF - Drop-down Menus'!$F$7:$F$11,MATCH('Data Input'!G64,'REF - Drop-down Menus'!$E$7:$E$11,0)),"")</f>
        <v/>
      </c>
    </row>
    <row r="65" spans="3:9" ht="14.5" customHeight="1" x14ac:dyDescent="0.35">
      <c r="C65" s="210" t="s">
        <v>156</v>
      </c>
      <c r="D65" s="211"/>
      <c r="E65" s="31" t="str">
        <f>IF(AND(E62="",E63="",E64=""),"",SUM(E62:E64))</f>
        <v/>
      </c>
      <c r="F65" s="143" t="s">
        <v>64</v>
      </c>
      <c r="G65" s="212" t="s">
        <v>64</v>
      </c>
      <c r="H65" s="213"/>
      <c r="I65" s="30">
        <f>SUMIF(I62:I64,"&lt;&gt;")</f>
        <v>0</v>
      </c>
    </row>
    <row r="66" spans="3:9" ht="6.75" customHeight="1" x14ac:dyDescent="0.35">
      <c r="C66" s="114"/>
      <c r="D66" s="114"/>
      <c r="E66" s="114"/>
      <c r="F66" s="114"/>
      <c r="G66" s="114"/>
      <c r="H66" s="114"/>
      <c r="I66" s="114"/>
    </row>
    <row r="67" spans="3:9" ht="14.5" customHeight="1" x14ac:dyDescent="0.35">
      <c r="C67" s="221" t="s">
        <v>216</v>
      </c>
      <c r="D67" s="221"/>
      <c r="E67" s="221"/>
      <c r="F67" s="221"/>
      <c r="G67" s="221"/>
      <c r="H67" s="221"/>
      <c r="I67" s="221"/>
    </row>
    <row r="68" spans="3:9" ht="14.5" customHeight="1" x14ac:dyDescent="0.35">
      <c r="C68" s="214" t="s">
        <v>215</v>
      </c>
      <c r="D68" s="215"/>
      <c r="E68" s="100"/>
      <c r="F68" s="96"/>
      <c r="G68" s="219" t="s">
        <v>4</v>
      </c>
      <c r="H68" s="220"/>
      <c r="I68" s="30" t="str">
        <f>IFERROR(INDEX('REF - Drop-down Menus'!$F$7:$F$11,MATCH('Data Input'!G68,'REF - Drop-down Menus'!$E$7:$E$11,0))*F68,"")</f>
        <v/>
      </c>
    </row>
    <row r="69" spans="3:9" ht="14.5" customHeight="1" x14ac:dyDescent="0.35">
      <c r="C69" s="214" t="s">
        <v>157</v>
      </c>
      <c r="D69" s="215"/>
      <c r="E69" s="100"/>
      <c r="F69" s="96"/>
      <c r="G69" s="219" t="s">
        <v>4</v>
      </c>
      <c r="H69" s="220"/>
      <c r="I69" s="30" t="str">
        <f>IFERROR(F69*INDEX('REF - Drop-down Menus'!$F$7:$F$11,MATCH('Data Input'!G69,'REF - Drop-down Menus'!$E$7:$E$11,0)),"")</f>
        <v/>
      </c>
    </row>
    <row r="70" spans="3:9" ht="14.5" customHeight="1" x14ac:dyDescent="0.35">
      <c r="C70" s="214" t="s">
        <v>159</v>
      </c>
      <c r="D70" s="215"/>
      <c r="E70" s="100"/>
      <c r="F70" s="96"/>
      <c r="G70" s="219" t="s">
        <v>4</v>
      </c>
      <c r="H70" s="220"/>
      <c r="I70" s="30" t="str">
        <f>IFERROR(F70*INDEX('REF - Drop-down Menus'!$F$7:$F$11,MATCH('Data Input'!G70,'REF - Drop-down Menus'!$E$7:$E$11,0)),"")</f>
        <v/>
      </c>
    </row>
    <row r="71" spans="3:9" ht="14.5" customHeight="1" x14ac:dyDescent="0.35">
      <c r="C71" s="222" t="s">
        <v>58</v>
      </c>
      <c r="D71" s="223"/>
      <c r="E71" s="100"/>
      <c r="F71" s="96"/>
      <c r="G71" s="219" t="s">
        <v>4</v>
      </c>
      <c r="H71" s="220"/>
      <c r="I71" s="30" t="str">
        <f>IFERROR(F71*INDEX('REF - Drop-down Menus'!$F$7:$F$11,MATCH('Data Input'!G71,'REF - Drop-down Menus'!$E$7:$E$11,0)),"")</f>
        <v/>
      </c>
    </row>
    <row r="72" spans="3:9" ht="14.5" customHeight="1" x14ac:dyDescent="0.35">
      <c r="C72" s="222" t="s">
        <v>58</v>
      </c>
      <c r="D72" s="223"/>
      <c r="E72" s="100"/>
      <c r="F72" s="96"/>
      <c r="G72" s="219" t="s">
        <v>4</v>
      </c>
      <c r="H72" s="220"/>
      <c r="I72" s="30" t="str">
        <f>IFERROR(F72*INDEX('REF - Drop-down Menus'!$F$7:$F$11,MATCH('Data Input'!G72,'REF - Drop-down Menus'!$E$7:$E$11,0)),"")</f>
        <v/>
      </c>
    </row>
    <row r="73" spans="3:9" ht="14.5" customHeight="1" x14ac:dyDescent="0.35">
      <c r="C73" s="210" t="s">
        <v>158</v>
      </c>
      <c r="D73" s="211"/>
      <c r="E73" s="31" t="str">
        <f>IF(AND(E68="",E69="",E71="",E72=""),"",SUM(E68:E72))</f>
        <v/>
      </c>
      <c r="F73" s="143" t="s">
        <v>64</v>
      </c>
      <c r="G73" s="212" t="s">
        <v>64</v>
      </c>
      <c r="H73" s="213"/>
      <c r="I73" s="32">
        <f>SUM(I68:I72)</f>
        <v>0</v>
      </c>
    </row>
  </sheetData>
  <sheetProtection algorithmName="SHA-512" hashValue="ZjFaOOQwm1CxC5VBWHi3Qb9Xy8kZetT1B6t708uCK8KRufKYZin7ABkNmPP/z8CRUzV83GT7VHAlLZ3ZMX30fg==" saltValue="nhTjsL+UCPJnW9OHB/Rrqg==" spinCount="100000" sheet="1" objects="1" scenarios="1"/>
  <mergeCells count="57">
    <mergeCell ref="B32:B33"/>
    <mergeCell ref="C32:C33"/>
    <mergeCell ref="D32:D33"/>
    <mergeCell ref="E32:E33"/>
    <mergeCell ref="F32:F33"/>
    <mergeCell ref="S29:U29"/>
    <mergeCell ref="I6:K6"/>
    <mergeCell ref="I7:K7"/>
    <mergeCell ref="I8:K8"/>
    <mergeCell ref="I32:I33"/>
    <mergeCell ref="J32:J33"/>
    <mergeCell ref="K32:K33"/>
    <mergeCell ref="U32:U33"/>
    <mergeCell ref="M32:M33"/>
    <mergeCell ref="N32:N33"/>
    <mergeCell ref="O32:O33"/>
    <mergeCell ref="R32:R33"/>
    <mergeCell ref="S32:S33"/>
    <mergeCell ref="T32:T33"/>
    <mergeCell ref="H14:J14"/>
    <mergeCell ref="N29:P29"/>
    <mergeCell ref="P32:P33"/>
    <mergeCell ref="H32:H33"/>
    <mergeCell ref="C54:K54"/>
    <mergeCell ref="C55:K55"/>
    <mergeCell ref="C56:K56"/>
    <mergeCell ref="C62:D62"/>
    <mergeCell ref="G62:H62"/>
    <mergeCell ref="H15:J15"/>
    <mergeCell ref="C59:D60"/>
    <mergeCell ref="E59:E60"/>
    <mergeCell ref="G60:H60"/>
    <mergeCell ref="D29:F29"/>
    <mergeCell ref="I29:K29"/>
    <mergeCell ref="G65:H65"/>
    <mergeCell ref="C68:D68"/>
    <mergeCell ref="G68:H68"/>
    <mergeCell ref="G63:H63"/>
    <mergeCell ref="C63:D63"/>
    <mergeCell ref="C64:D64"/>
    <mergeCell ref="G64:H64"/>
    <mergeCell ref="H10:I10"/>
    <mergeCell ref="H11:I11"/>
    <mergeCell ref="C73:D73"/>
    <mergeCell ref="G73:H73"/>
    <mergeCell ref="C70:D70"/>
    <mergeCell ref="F59:I59"/>
    <mergeCell ref="G70:H70"/>
    <mergeCell ref="C61:I61"/>
    <mergeCell ref="C67:I67"/>
    <mergeCell ref="C69:D69"/>
    <mergeCell ref="G69:H69"/>
    <mergeCell ref="C71:D71"/>
    <mergeCell ref="G71:H71"/>
    <mergeCell ref="C72:D72"/>
    <mergeCell ref="G72:H72"/>
    <mergeCell ref="C65:D65"/>
  </mergeCells>
  <conditionalFormatting sqref="K13:K14">
    <cfRule type="expression" dxfId="4" priority="10">
      <formula>ISERROR($K$13)</formula>
    </cfRule>
  </conditionalFormatting>
  <conditionalFormatting sqref="K22">
    <cfRule type="expression" dxfId="3" priority="5">
      <formula>"$K$20'=""NO"""</formula>
    </cfRule>
  </conditionalFormatting>
  <conditionalFormatting sqref="K15">
    <cfRule type="expression" dxfId="2" priority="4">
      <formula>ISERROR($K$13)</formula>
    </cfRule>
  </conditionalFormatting>
  <conditionalFormatting sqref="I62:I65">
    <cfRule type="cellIs" dxfId="1" priority="2" operator="equal">
      <formula>0</formula>
    </cfRule>
  </conditionalFormatting>
  <conditionalFormatting sqref="I68:I73">
    <cfRule type="cellIs" dxfId="0" priority="1" operator="equal">
      <formula>0</formula>
    </cfRule>
  </conditionalFormatting>
  <pageMargins left="0.70866141732283472" right="0.70866141732283472" top="0.74803149606299213" bottom="0.74803149606299213" header="0.31496062992125984" footer="0.31496062992125984"/>
  <pageSetup scale="46" orientation="landscape" r:id="rId1"/>
  <ignoredErrors>
    <ignoredError sqref="E73 I73" unlockedFormula="1"/>
  </ignoredErrors>
  <extLst>
    <ext xmlns:x14="http://schemas.microsoft.com/office/spreadsheetml/2009/9/main" uri="{CCE6A557-97BC-4b89-ADB6-D9C93CAAB3DF}">
      <x14:dataValidations xmlns:xm="http://schemas.microsoft.com/office/excel/2006/main" count="4">
        <x14:dataValidation type="list" allowBlank="1" showInputMessage="1" showErrorMessage="1" xr:uid="{1D39FD9F-AF1D-4A81-A708-6E32E548054B}">
          <x14:formula1>
            <xm:f>'REF - Drop-down Menus'!$H$6:$H$8</xm:f>
          </x14:formula1>
          <xm:sqref>K18:K19 K21</xm:sqref>
        </x14:dataValidation>
        <x14:dataValidation type="list" allowBlank="1" showInputMessage="1" showErrorMessage="1" xr:uid="{B52D8690-139D-483F-A7E7-58DEAE14027B}">
          <x14:formula1>
            <xm:f>'REF - Drop-down Menus'!$A$6:$A$12</xm:f>
          </x14:formula1>
          <xm:sqref>K10</xm:sqref>
        </x14:dataValidation>
        <x14:dataValidation type="list" allowBlank="1" showInputMessage="1" showErrorMessage="1" xr:uid="{8BDACC85-C083-4580-8118-4D6BA7C1125C}">
          <x14:formula1>
            <xm:f>'REF - Drop-down Menus'!$E$6:$E$11</xm:f>
          </x14:formula1>
          <xm:sqref>U31 F31 K31 P31 H63:H64 G62:G64 G68:G72</xm:sqref>
        </x14:dataValidation>
        <x14:dataValidation type="list" allowBlank="1" showInputMessage="1" showErrorMessage="1" xr:uid="{262CF678-47D7-4C20-8BB4-14A531166458}">
          <x14:formula1>
            <xm:f>'REF - Drop-down Menus'!$C$6:$C$21</xm:f>
          </x14:formula1>
          <xm:sqref>I8:K8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6B3B1-1207-4288-A29B-7A4E72852673}">
  <sheetPr>
    <tabColor rgb="FF92D050"/>
    <pageSetUpPr autoPageBreaks="0" fitToPage="1"/>
  </sheetPr>
  <dimension ref="A1:U112"/>
  <sheetViews>
    <sheetView showGridLines="0" workbookViewId="0"/>
  </sheetViews>
  <sheetFormatPr defaultColWidth="8.81640625" defaultRowHeight="14.5" customHeight="1" x14ac:dyDescent="0.35"/>
  <cols>
    <col min="1" max="1" width="2.1796875" style="29" customWidth="1"/>
    <col min="2" max="2" width="7.81640625" style="19" customWidth="1"/>
    <col min="3" max="5" width="12.7265625" style="19" customWidth="1"/>
    <col min="6" max="6" width="15.54296875" style="19" customWidth="1"/>
    <col min="7" max="7" width="14.453125" style="19" customWidth="1"/>
    <col min="8" max="8" width="14.7265625" style="19" customWidth="1"/>
    <col min="9" max="11" width="12.7265625" style="19" customWidth="1"/>
    <col min="12" max="12" width="14.54296875" style="19" customWidth="1"/>
    <col min="13" max="13" width="14" style="19" customWidth="1"/>
    <col min="14" max="19" width="12.7265625" style="19" customWidth="1"/>
    <col min="20" max="20" width="2.1796875" style="29" customWidth="1"/>
    <col min="21" max="16384" width="8.81640625" style="18"/>
  </cols>
  <sheetData>
    <row r="1" spans="1:20" ht="46" customHeight="1" x14ac:dyDescent="0.35">
      <c r="B1" s="144" t="s">
        <v>217</v>
      </c>
      <c r="C1" s="145"/>
      <c r="D1" s="145"/>
      <c r="F1" s="145"/>
      <c r="G1" s="145"/>
      <c r="H1" s="145"/>
      <c r="I1" s="145"/>
      <c r="J1" s="145"/>
      <c r="K1" s="145"/>
      <c r="L1" s="145"/>
      <c r="M1" s="145"/>
      <c r="N1" s="145"/>
      <c r="O1" s="145"/>
      <c r="P1" s="145"/>
      <c r="Q1" s="145"/>
      <c r="S1" s="146"/>
    </row>
    <row r="2" spans="1:20" ht="44.25" customHeight="1" x14ac:dyDescent="0.75">
      <c r="B2" s="147" t="s">
        <v>76</v>
      </c>
      <c r="C2" s="145"/>
      <c r="D2" s="145"/>
      <c r="F2" s="145"/>
      <c r="G2" s="145"/>
      <c r="H2" s="145"/>
      <c r="I2" s="145"/>
      <c r="J2" s="145"/>
      <c r="K2" s="145"/>
      <c r="L2" s="145"/>
      <c r="M2" s="145"/>
      <c r="N2" s="145"/>
      <c r="O2" s="145"/>
      <c r="P2" s="145"/>
      <c r="Q2" s="145"/>
      <c r="S2" s="146"/>
    </row>
    <row r="3" spans="1:20" ht="14.5" customHeight="1" x14ac:dyDescent="0.35">
      <c r="A3" s="148"/>
      <c r="B3" s="149"/>
      <c r="C3" s="150"/>
      <c r="D3" s="150"/>
      <c r="E3" s="150"/>
      <c r="F3" s="150"/>
      <c r="G3" s="151"/>
      <c r="H3" s="150"/>
      <c r="I3" s="151"/>
      <c r="J3" s="151"/>
      <c r="K3" s="148"/>
      <c r="L3" s="151"/>
      <c r="M3" s="152"/>
      <c r="N3" s="153"/>
      <c r="O3" s="153"/>
      <c r="P3" s="154"/>
      <c r="Q3" s="151"/>
      <c r="R3" s="151"/>
      <c r="S3" s="148"/>
      <c r="T3" s="148"/>
    </row>
    <row r="4" spans="1:20" ht="23.5" x14ac:dyDescent="0.55000000000000004">
      <c r="A4" s="155"/>
      <c r="B4" s="156" t="s">
        <v>133</v>
      </c>
      <c r="C4" s="156"/>
      <c r="D4" s="156"/>
      <c r="E4" s="156"/>
      <c r="F4" s="156"/>
      <c r="G4" s="156"/>
      <c r="H4" s="156"/>
      <c r="I4" s="156"/>
      <c r="J4" s="156"/>
      <c r="K4" s="156"/>
      <c r="L4" s="156"/>
      <c r="M4" s="156"/>
      <c r="N4" s="156"/>
      <c r="O4" s="156"/>
      <c r="P4" s="156"/>
      <c r="Q4" s="156"/>
      <c r="R4" s="156"/>
      <c r="S4" s="157"/>
    </row>
    <row r="5" spans="1:20" x14ac:dyDescent="0.35">
      <c r="M5" s="158"/>
      <c r="N5" s="159"/>
      <c r="O5" s="159"/>
      <c r="P5" s="159"/>
    </row>
    <row r="6" spans="1:20" x14ac:dyDescent="0.35">
      <c r="C6" s="160" t="s">
        <v>137</v>
      </c>
      <c r="G6" s="32">
        <f>SUM('Data Input'!F48,'Data Input'!K48,'Data Input'!P48,'Data Input'!U48)</f>
        <v>0</v>
      </c>
      <c r="H6" s="157" t="s">
        <v>136</v>
      </c>
      <c r="M6" s="158"/>
      <c r="N6" s="159"/>
      <c r="O6" s="159"/>
      <c r="P6" s="159"/>
    </row>
    <row r="7" spans="1:20" x14ac:dyDescent="0.35">
      <c r="C7" s="160" t="s">
        <v>134</v>
      </c>
      <c r="G7" s="32">
        <f>'Data Input'!$K$11</f>
        <v>0</v>
      </c>
      <c r="H7" s="157" t="s">
        <v>135</v>
      </c>
      <c r="M7" s="158"/>
      <c r="N7" s="159"/>
      <c r="O7" s="159"/>
      <c r="P7" s="159"/>
    </row>
    <row r="8" spans="1:20" x14ac:dyDescent="0.35">
      <c r="M8" s="158"/>
      <c r="N8" s="159"/>
      <c r="O8" s="159"/>
      <c r="P8" s="159"/>
    </row>
    <row r="9" spans="1:20" ht="15.5" x14ac:dyDescent="0.35">
      <c r="C9" s="161" t="s">
        <v>128</v>
      </c>
      <c r="E9" s="157"/>
      <c r="F9" s="157"/>
      <c r="G9" s="33" t="str">
        <f>IFERROR(G6/G7,"N/A")</f>
        <v>N/A</v>
      </c>
      <c r="H9" s="157" t="s">
        <v>92</v>
      </c>
      <c r="R9" s="29"/>
      <c r="S9" s="29"/>
    </row>
    <row r="10" spans="1:20" ht="6" customHeight="1" x14ac:dyDescent="0.35">
      <c r="O10" s="159"/>
      <c r="P10" s="159"/>
    </row>
    <row r="12" spans="1:20" ht="23.5" x14ac:dyDescent="0.55000000000000004">
      <c r="A12" s="155"/>
      <c r="B12" s="156" t="s">
        <v>164</v>
      </c>
      <c r="C12" s="156"/>
      <c r="D12" s="156"/>
      <c r="E12" s="156"/>
      <c r="F12" s="156"/>
      <c r="G12" s="156"/>
      <c r="H12" s="156"/>
      <c r="I12" s="156"/>
      <c r="J12" s="156"/>
      <c r="K12" s="156"/>
      <c r="L12" s="156"/>
      <c r="M12" s="156"/>
      <c r="N12" s="156"/>
      <c r="O12" s="156"/>
      <c r="P12" s="156"/>
      <c r="Q12" s="156"/>
      <c r="R12" s="156"/>
      <c r="S12" s="157"/>
    </row>
    <row r="13" spans="1:20" x14ac:dyDescent="0.35">
      <c r="M13" s="158"/>
      <c r="N13" s="159"/>
      <c r="O13" s="159"/>
      <c r="P13" s="159"/>
    </row>
    <row r="14" spans="1:20" x14ac:dyDescent="0.35">
      <c r="C14" s="162" t="s">
        <v>85</v>
      </c>
      <c r="D14" s="163"/>
      <c r="E14" s="163"/>
      <c r="F14" s="163"/>
      <c r="G14" s="164"/>
      <c r="H14" s="163"/>
      <c r="I14" s="163"/>
      <c r="J14" s="163"/>
      <c r="K14" s="29"/>
      <c r="L14" s="29"/>
      <c r="M14" s="29"/>
      <c r="N14" s="29"/>
      <c r="O14" s="29"/>
      <c r="P14" s="29"/>
      <c r="Q14" s="29"/>
    </row>
    <row r="15" spans="1:20" ht="6" customHeight="1" x14ac:dyDescent="0.35">
      <c r="C15" s="163"/>
      <c r="D15" s="163"/>
      <c r="E15" s="163"/>
      <c r="F15" s="163"/>
      <c r="G15" s="163"/>
      <c r="H15" s="163"/>
      <c r="I15" s="163"/>
      <c r="J15" s="163"/>
      <c r="K15" s="29"/>
      <c r="L15" s="29"/>
      <c r="M15" s="29"/>
      <c r="N15" s="29"/>
      <c r="O15" s="29"/>
      <c r="P15" s="29"/>
      <c r="Q15" s="29"/>
    </row>
    <row r="16" spans="1:20" ht="66" customHeight="1" x14ac:dyDescent="0.35">
      <c r="C16" s="165" t="s">
        <v>143</v>
      </c>
      <c r="D16" s="165" t="s">
        <v>53</v>
      </c>
      <c r="E16" s="165" t="s">
        <v>54</v>
      </c>
      <c r="F16" s="165" t="s">
        <v>86</v>
      </c>
      <c r="G16" s="165" t="s">
        <v>87</v>
      </c>
      <c r="H16" s="165" t="s">
        <v>144</v>
      </c>
      <c r="I16" s="165" t="s">
        <v>89</v>
      </c>
      <c r="J16" s="165" t="s">
        <v>90</v>
      </c>
      <c r="K16" s="165" t="s">
        <v>91</v>
      </c>
      <c r="L16" s="165" t="s">
        <v>88</v>
      </c>
      <c r="M16" s="165" t="s">
        <v>59</v>
      </c>
      <c r="N16" s="165" t="s">
        <v>145</v>
      </c>
      <c r="R16" s="29"/>
      <c r="S16" s="29"/>
    </row>
    <row r="17" spans="3:20" x14ac:dyDescent="0.35">
      <c r="C17" s="34">
        <f>'Data Input'!$K$22</f>
        <v>0</v>
      </c>
      <c r="D17" s="35" t="str">
        <f>IF('Data Input'!I8='REF - Drop-down Menus'!$C$6,"",'Data Input'!I8)</f>
        <v/>
      </c>
      <c r="E17" s="36" t="str">
        <f>IF('Data Input'!K10='REF - Drop-down Menus'!A6,"",'Data Input'!K10)</f>
        <v/>
      </c>
      <c r="F17" s="37" t="str">
        <f>IFERROR(INDEX('REF - annual ET and EP data'!$C$7:$J$36,MATCH('NWUI Calculations'!D17,'REF - annual ET and EP data'!$A$7:$A$36,0),MATCH(E17,'REF - annual ET and EP data'!$C$6:$J$6,0)),"")</f>
        <v/>
      </c>
      <c r="G17" s="37" t="str">
        <f>IFERROR(INDEX('REF - annual ET and EP data'!$C$7:$J$36,MATCH('NWUI Calculations'!D17,'REF - annual ET and EP data'!$A$7:$A$36,0)+1,MATCH(E17,'REF - annual ET and EP data'!$C$6:$J$6,0)),"")</f>
        <v/>
      </c>
      <c r="H17" s="38">
        <v>0.7</v>
      </c>
      <c r="I17" s="38">
        <v>0.65</v>
      </c>
      <c r="J17" s="38">
        <v>1</v>
      </c>
      <c r="K17" s="38">
        <v>1</v>
      </c>
      <c r="L17" s="39" t="str">
        <f>IFERROR((F17*H17-G17)/I17*J17*K17/10.76,"N/A")</f>
        <v>N/A</v>
      </c>
      <c r="M17" s="40" t="str">
        <f>IFERROR($L$17*$C$17,"0")</f>
        <v>0</v>
      </c>
      <c r="N17" s="41">
        <f>IFERROR(M17/'Data Input'!K11,0)</f>
        <v>0</v>
      </c>
      <c r="R17" s="29"/>
      <c r="S17" s="29"/>
    </row>
    <row r="18" spans="3:20" x14ac:dyDescent="0.35">
      <c r="M18" s="158"/>
      <c r="N18" s="159"/>
      <c r="O18" s="159"/>
      <c r="P18" s="159"/>
    </row>
    <row r="19" spans="3:20" x14ac:dyDescent="0.35">
      <c r="C19" s="162" t="s">
        <v>175</v>
      </c>
      <c r="D19" s="163"/>
      <c r="E19" s="163"/>
      <c r="M19" s="158"/>
      <c r="N19" s="159"/>
      <c r="O19" s="159"/>
      <c r="P19" s="159"/>
    </row>
    <row r="20" spans="3:20" ht="6" customHeight="1" x14ac:dyDescent="0.35">
      <c r="C20" s="163"/>
      <c r="D20" s="163"/>
      <c r="E20" s="163"/>
      <c r="M20" s="158"/>
      <c r="N20" s="159"/>
      <c r="O20" s="159"/>
      <c r="P20" s="159"/>
    </row>
    <row r="21" spans="3:20" ht="42" customHeight="1" x14ac:dyDescent="0.35">
      <c r="D21" s="254" t="s">
        <v>165</v>
      </c>
      <c r="E21" s="255"/>
      <c r="F21" s="247" t="s">
        <v>198</v>
      </c>
      <c r="G21" s="245" t="s">
        <v>197</v>
      </c>
      <c r="H21" s="245" t="s">
        <v>166</v>
      </c>
      <c r="I21" s="245" t="s">
        <v>170</v>
      </c>
      <c r="L21" s="158"/>
      <c r="S21" s="29"/>
      <c r="T21" s="18"/>
    </row>
    <row r="22" spans="3:20" ht="23.25" customHeight="1" x14ac:dyDescent="0.35">
      <c r="D22" s="165" t="s">
        <v>45</v>
      </c>
      <c r="E22" s="166" t="s">
        <v>171</v>
      </c>
      <c r="F22" s="248"/>
      <c r="G22" s="246"/>
      <c r="H22" s="246"/>
      <c r="I22" s="246"/>
      <c r="L22" s="158"/>
      <c r="S22" s="29"/>
      <c r="T22" s="18"/>
    </row>
    <row r="23" spans="3:20" x14ac:dyDescent="0.35">
      <c r="D23" s="42">
        <f>'Data Input'!I65</f>
        <v>0</v>
      </c>
      <c r="E23" s="42">
        <f>IF('Data Input'!E65="",0,'Data Input'!$E$65)</f>
        <v>0</v>
      </c>
      <c r="F23" s="43">
        <f>IFERROR($E$23*$I$60,"")</f>
        <v>0</v>
      </c>
      <c r="G23" s="43">
        <f>IFERROR(D23-F23,"")</f>
        <v>0</v>
      </c>
      <c r="H23" s="43">
        <f>'Data Input'!$K$11</f>
        <v>0</v>
      </c>
      <c r="I23" s="44">
        <f>IFERROR(ROUND(G23/H23,2),0)</f>
        <v>0</v>
      </c>
      <c r="K23" s="167"/>
      <c r="L23" s="158"/>
      <c r="S23" s="29"/>
      <c r="T23" s="18"/>
    </row>
    <row r="24" spans="3:20" x14ac:dyDescent="0.35">
      <c r="M24" s="158"/>
    </row>
    <row r="25" spans="3:20" x14ac:dyDescent="0.35">
      <c r="C25" s="162" t="s">
        <v>167</v>
      </c>
      <c r="H25" s="168"/>
      <c r="I25" s="168"/>
      <c r="J25" s="168"/>
      <c r="K25" s="168"/>
      <c r="L25" s="168"/>
      <c r="M25" s="168"/>
      <c r="N25" s="159"/>
      <c r="O25" s="159"/>
      <c r="P25" s="159"/>
    </row>
    <row r="26" spans="3:20" ht="4.5" customHeight="1" x14ac:dyDescent="0.35">
      <c r="H26" s="168"/>
      <c r="I26" s="168"/>
      <c r="J26" s="168"/>
      <c r="K26" s="168"/>
      <c r="L26" s="168"/>
      <c r="M26" s="168"/>
      <c r="N26" s="159"/>
      <c r="O26" s="159"/>
      <c r="P26" s="159"/>
    </row>
    <row r="27" spans="3:20" ht="30" customHeight="1" x14ac:dyDescent="0.35">
      <c r="C27" s="258" t="s">
        <v>168</v>
      </c>
      <c r="D27" s="258"/>
      <c r="E27" s="258"/>
      <c r="F27" s="247" t="s">
        <v>200</v>
      </c>
      <c r="G27" s="245" t="s">
        <v>173</v>
      </c>
      <c r="H27" s="245" t="s">
        <v>174</v>
      </c>
      <c r="I27" s="245" t="s">
        <v>169</v>
      </c>
      <c r="J27" s="245" t="s">
        <v>214</v>
      </c>
      <c r="K27" s="245" t="s">
        <v>199</v>
      </c>
      <c r="L27" s="159"/>
      <c r="M27" s="159"/>
      <c r="N27" s="159"/>
      <c r="O27" s="159"/>
      <c r="S27" s="29"/>
      <c r="T27" s="18"/>
    </row>
    <row r="28" spans="3:20" ht="39.75" customHeight="1" x14ac:dyDescent="0.35">
      <c r="C28" s="169" t="s">
        <v>45</v>
      </c>
      <c r="D28" s="166" t="s">
        <v>171</v>
      </c>
      <c r="E28" s="165" t="s">
        <v>172</v>
      </c>
      <c r="F28" s="248"/>
      <c r="G28" s="246"/>
      <c r="H28" s="246"/>
      <c r="I28" s="246"/>
      <c r="J28" s="246"/>
      <c r="K28" s="246"/>
      <c r="L28" s="159"/>
      <c r="M28" s="159"/>
      <c r="N28" s="159"/>
      <c r="O28" s="159"/>
      <c r="S28" s="29"/>
      <c r="T28" s="18"/>
    </row>
    <row r="29" spans="3:20" ht="30" customHeight="1" x14ac:dyDescent="0.35">
      <c r="C29" s="45">
        <f>'Data Input'!I73</f>
        <v>0</v>
      </c>
      <c r="D29" s="45">
        <f>IF('Data Input'!$E$73="",0,'Data Input'!$E$73)</f>
        <v>0</v>
      </c>
      <c r="E29" s="46" t="str">
        <f>IFERROR(C29/D29,"N/A")</f>
        <v>N/A</v>
      </c>
      <c r="F29" s="47" t="str">
        <f>IFERROR($G$9-$N$17-$I$23,"N/A")</f>
        <v>N/A</v>
      </c>
      <c r="G29" s="48" t="str">
        <f>IF(E29="","",IF(E29&gt;F29,"Y","N"))</f>
        <v>N</v>
      </c>
      <c r="H29" s="49">
        <f>$G$6-$M$17-$G$23-$C$29</f>
        <v>0</v>
      </c>
      <c r="I29" s="49">
        <f>H23-D29</f>
        <v>0</v>
      </c>
      <c r="J29" s="50" t="str">
        <f>IFERROR(H29/I29,"N/A")</f>
        <v>N/A</v>
      </c>
      <c r="K29" s="51">
        <f>IFERROR(ROUND(F29-J29,2),0)</f>
        <v>0</v>
      </c>
      <c r="L29" s="159"/>
      <c r="M29" s="159"/>
      <c r="N29" s="159"/>
      <c r="O29" s="159"/>
      <c r="S29" s="29"/>
      <c r="T29" s="18"/>
    </row>
    <row r="30" spans="3:20" ht="6" customHeight="1" x14ac:dyDescent="0.35">
      <c r="L30" s="159"/>
      <c r="M30" s="158"/>
      <c r="N30" s="159"/>
      <c r="O30" s="159"/>
      <c r="P30" s="159"/>
    </row>
    <row r="31" spans="3:20" x14ac:dyDescent="0.35">
      <c r="E31" s="157"/>
      <c r="F31" s="157"/>
      <c r="G31" s="157"/>
      <c r="H31" s="157"/>
      <c r="I31" s="157"/>
      <c r="J31" s="29"/>
      <c r="K31" s="29"/>
      <c r="L31" s="170"/>
      <c r="M31" s="29"/>
      <c r="Q31" s="171"/>
    </row>
    <row r="32" spans="3:20" ht="15.5" x14ac:dyDescent="0.35">
      <c r="C32" s="161" t="s">
        <v>128</v>
      </c>
      <c r="E32" s="157"/>
      <c r="F32" s="157"/>
      <c r="G32" s="52" t="str">
        <f>G9</f>
        <v>N/A</v>
      </c>
      <c r="H32" s="157" t="s">
        <v>92</v>
      </c>
      <c r="J32" s="29"/>
      <c r="K32" s="29"/>
      <c r="L32" s="170"/>
      <c r="M32" s="29"/>
      <c r="Q32" s="171"/>
    </row>
    <row r="33" spans="1:20" x14ac:dyDescent="0.35">
      <c r="E33" s="157"/>
      <c r="F33" s="157"/>
      <c r="G33" s="157"/>
      <c r="H33" s="157"/>
      <c r="J33" s="29"/>
      <c r="K33" s="29"/>
      <c r="L33" s="170"/>
      <c r="M33" s="29"/>
      <c r="Q33" s="171"/>
    </row>
    <row r="34" spans="1:20" x14ac:dyDescent="0.35">
      <c r="C34" s="172" t="s">
        <v>93</v>
      </c>
      <c r="E34" s="157"/>
      <c r="F34" s="157"/>
      <c r="G34" s="157"/>
      <c r="H34" s="157"/>
      <c r="J34" s="29"/>
      <c r="K34" s="29"/>
      <c r="L34" s="170"/>
      <c r="M34" s="29"/>
      <c r="Q34" s="171"/>
    </row>
    <row r="35" spans="1:20" x14ac:dyDescent="0.35">
      <c r="C35" s="173" t="s">
        <v>78</v>
      </c>
      <c r="E35" s="157"/>
      <c r="F35" s="157"/>
      <c r="G35" s="52">
        <f>IFERROR($N$17*-1,0)</f>
        <v>0</v>
      </c>
      <c r="H35" s="157" t="s">
        <v>92</v>
      </c>
      <c r="J35" s="29"/>
      <c r="K35" s="29"/>
      <c r="L35" s="170"/>
      <c r="M35" s="29"/>
      <c r="Q35" s="171"/>
    </row>
    <row r="36" spans="1:20" x14ac:dyDescent="0.35">
      <c r="C36" s="173" t="s">
        <v>94</v>
      </c>
      <c r="E36" s="157"/>
      <c r="F36" s="157"/>
      <c r="G36" s="52">
        <f>IFERROR($I$23*-1,0)</f>
        <v>0</v>
      </c>
      <c r="H36" s="157" t="s">
        <v>92</v>
      </c>
      <c r="J36" s="29"/>
      <c r="K36" s="29"/>
      <c r="L36" s="170"/>
      <c r="M36" s="29"/>
      <c r="Q36" s="171"/>
    </row>
    <row r="37" spans="1:20" x14ac:dyDescent="0.35">
      <c r="C37" s="173" t="s">
        <v>95</v>
      </c>
      <c r="E37" s="157"/>
      <c r="F37" s="157"/>
      <c r="G37" s="52">
        <f>IFERROR($K$29*-1,0)</f>
        <v>0</v>
      </c>
      <c r="H37" s="157" t="s">
        <v>92</v>
      </c>
      <c r="J37" s="29"/>
      <c r="K37" s="29"/>
      <c r="L37" s="170"/>
      <c r="M37" s="29"/>
      <c r="Q37" s="171"/>
    </row>
    <row r="38" spans="1:20" x14ac:dyDescent="0.35">
      <c r="E38" s="157"/>
      <c r="F38" s="157"/>
      <c r="G38" s="157"/>
      <c r="H38" s="157"/>
      <c r="J38" s="29"/>
      <c r="K38" s="29"/>
      <c r="L38" s="170"/>
      <c r="M38" s="29"/>
      <c r="Q38" s="171"/>
    </row>
    <row r="39" spans="1:20" ht="15.5" x14ac:dyDescent="0.35">
      <c r="C39" s="161" t="s">
        <v>120</v>
      </c>
      <c r="E39" s="157"/>
      <c r="F39" s="157"/>
      <c r="G39" s="53" t="str">
        <f>IFERROR($G$32+SUM($G$35:$G$37),"N/A")</f>
        <v>N/A</v>
      </c>
      <c r="H39" s="157" t="s">
        <v>92</v>
      </c>
      <c r="J39" s="29"/>
      <c r="K39" s="29"/>
      <c r="L39" s="170"/>
      <c r="M39" s="29"/>
      <c r="Q39" s="171"/>
    </row>
    <row r="40" spans="1:20" x14ac:dyDescent="0.35">
      <c r="E40" s="157"/>
      <c r="F40" s="157"/>
      <c r="G40" s="157"/>
      <c r="H40" s="157"/>
      <c r="I40" s="157"/>
      <c r="J40" s="29"/>
      <c r="K40" s="29"/>
      <c r="L40" s="170"/>
      <c r="M40" s="29"/>
      <c r="Q40" s="171"/>
    </row>
    <row r="41" spans="1:20" x14ac:dyDescent="0.35">
      <c r="E41" s="157"/>
      <c r="F41" s="157"/>
      <c r="G41" s="157"/>
      <c r="H41" s="157"/>
      <c r="I41" s="157"/>
      <c r="J41" s="29"/>
      <c r="K41" s="29"/>
      <c r="L41" s="170"/>
      <c r="M41" s="29"/>
      <c r="Q41" s="171"/>
    </row>
    <row r="42" spans="1:20" ht="26.5" x14ac:dyDescent="0.7">
      <c r="A42" s="155"/>
      <c r="B42" s="156" t="s">
        <v>195</v>
      </c>
      <c r="C42" s="156"/>
      <c r="D42" s="156"/>
      <c r="E42" s="156"/>
      <c r="F42" s="156"/>
      <c r="G42" s="156"/>
      <c r="H42" s="156"/>
      <c r="I42" s="156"/>
      <c r="J42" s="156"/>
      <c r="K42" s="156"/>
      <c r="L42" s="156"/>
      <c r="M42" s="156"/>
      <c r="N42" s="156"/>
      <c r="O42" s="156"/>
      <c r="P42" s="156"/>
      <c r="Q42" s="156"/>
      <c r="R42" s="156"/>
      <c r="S42" s="157"/>
    </row>
    <row r="43" spans="1:20" x14ac:dyDescent="0.35">
      <c r="E43" s="157"/>
      <c r="F43" s="157"/>
      <c r="G43" s="157"/>
      <c r="H43" s="157"/>
      <c r="I43" s="157"/>
      <c r="J43" s="29"/>
      <c r="K43" s="29"/>
      <c r="L43" s="170"/>
      <c r="M43" s="29"/>
      <c r="Q43" s="171"/>
    </row>
    <row r="44" spans="1:20" s="29" customFormat="1" ht="15.5" x14ac:dyDescent="0.35">
      <c r="A44" s="174"/>
      <c r="B44" s="175" t="s">
        <v>96</v>
      </c>
      <c r="C44" s="176"/>
      <c r="D44" s="176"/>
      <c r="E44" s="176"/>
      <c r="F44" s="176"/>
      <c r="G44" s="176"/>
      <c r="H44" s="176"/>
      <c r="I44" s="176"/>
      <c r="J44" s="176"/>
      <c r="K44" s="176"/>
      <c r="L44" s="176"/>
      <c r="M44" s="176"/>
      <c r="N44" s="176"/>
      <c r="O44" s="176"/>
      <c r="P44" s="176"/>
      <c r="Q44" s="176"/>
      <c r="R44" s="177"/>
      <c r="S44" s="18"/>
    </row>
    <row r="45" spans="1:20" s="29" customFormat="1" x14ac:dyDescent="0.35">
      <c r="B45" s="19"/>
      <c r="C45" s="19"/>
      <c r="D45" s="19"/>
      <c r="E45" s="157"/>
      <c r="F45" s="157"/>
      <c r="G45" s="157"/>
      <c r="H45" s="157"/>
      <c r="I45" s="157"/>
      <c r="O45" s="19"/>
      <c r="P45" s="19"/>
      <c r="Q45" s="171"/>
      <c r="R45" s="170"/>
      <c r="S45" s="157"/>
    </row>
    <row r="46" spans="1:20" s="29" customFormat="1" x14ac:dyDescent="0.35">
      <c r="B46" s="19"/>
      <c r="C46" s="162" t="s">
        <v>97</v>
      </c>
      <c r="D46" s="19"/>
      <c r="E46" s="157"/>
      <c r="F46" s="157"/>
      <c r="G46" s="157"/>
      <c r="H46" s="157"/>
      <c r="I46" s="157"/>
      <c r="O46" s="19"/>
      <c r="P46" s="19"/>
      <c r="Q46" s="171"/>
      <c r="R46" s="170"/>
      <c r="S46" s="157"/>
    </row>
    <row r="47" spans="1:20" s="29" customFormat="1" ht="4.5" customHeight="1" x14ac:dyDescent="0.35">
      <c r="B47" s="19"/>
      <c r="C47" s="162"/>
      <c r="D47" s="19"/>
      <c r="E47" s="157"/>
      <c r="F47" s="157"/>
      <c r="G47" s="157"/>
      <c r="H47" s="157"/>
      <c r="I47" s="157"/>
      <c r="O47" s="19"/>
      <c r="P47" s="19"/>
      <c r="Q47" s="171"/>
      <c r="R47" s="170"/>
      <c r="S47" s="157"/>
    </row>
    <row r="48" spans="1:20" s="29" customFormat="1" ht="40.5" x14ac:dyDescent="0.35">
      <c r="B48" s="19"/>
      <c r="C48" s="178" t="s">
        <v>208</v>
      </c>
      <c r="D48" s="178" t="s">
        <v>55</v>
      </c>
      <c r="E48" s="179" t="s">
        <v>146</v>
      </c>
      <c r="F48" s="179" t="s">
        <v>74</v>
      </c>
      <c r="G48" s="19"/>
      <c r="H48" s="157"/>
      <c r="I48" s="157"/>
      <c r="J48" s="157"/>
      <c r="P48" s="19"/>
      <c r="Q48" s="19"/>
      <c r="R48" s="171"/>
      <c r="S48" s="170"/>
      <c r="T48" s="157"/>
    </row>
    <row r="49" spans="1:21" s="29" customFormat="1" x14ac:dyDescent="0.35">
      <c r="B49" s="19"/>
      <c r="C49" s="54">
        <v>3034.7</v>
      </c>
      <c r="D49" s="54">
        <v>568.1</v>
      </c>
      <c r="E49" s="55">
        <v>2.2999999999999998</v>
      </c>
      <c r="F49" s="31">
        <v>65</v>
      </c>
      <c r="G49" s="19"/>
      <c r="H49" s="157"/>
      <c r="I49" s="157"/>
      <c r="J49" s="157"/>
      <c r="P49" s="19"/>
      <c r="Q49" s="19"/>
      <c r="R49" s="171"/>
      <c r="S49" s="170"/>
      <c r="T49" s="157"/>
    </row>
    <row r="50" spans="1:21" s="29" customFormat="1" x14ac:dyDescent="0.35">
      <c r="B50" s="19"/>
      <c r="C50" s="19"/>
      <c r="D50" s="19"/>
      <c r="E50" s="157"/>
      <c r="F50" s="157"/>
      <c r="G50" s="157"/>
      <c r="H50" s="157"/>
      <c r="I50" s="157"/>
      <c r="O50" s="19"/>
      <c r="P50" s="19"/>
      <c r="Q50" s="171"/>
      <c r="R50" s="170"/>
      <c r="S50" s="157"/>
    </row>
    <row r="51" spans="1:21" s="29" customFormat="1" x14ac:dyDescent="0.35">
      <c r="B51" s="19"/>
      <c r="C51" s="162" t="s">
        <v>176</v>
      </c>
      <c r="D51" s="19"/>
      <c r="E51" s="157"/>
      <c r="F51" s="157"/>
      <c r="G51" s="157"/>
      <c r="H51" s="157"/>
      <c r="I51" s="157"/>
      <c r="O51" s="19"/>
      <c r="P51" s="19"/>
      <c r="Q51" s="171"/>
      <c r="R51" s="170"/>
      <c r="S51" s="157"/>
    </row>
    <row r="52" spans="1:21" s="29" customFormat="1" ht="6.75" customHeight="1" x14ac:dyDescent="0.35">
      <c r="B52" s="19"/>
      <c r="C52" s="19"/>
      <c r="D52" s="19"/>
      <c r="E52" s="157"/>
      <c r="F52" s="157"/>
      <c r="G52" s="157"/>
      <c r="H52" s="157"/>
      <c r="I52" s="157"/>
      <c r="O52" s="19"/>
      <c r="P52" s="19"/>
      <c r="Q52" s="171"/>
      <c r="R52" s="170"/>
      <c r="S52" s="157"/>
    </row>
    <row r="53" spans="1:21" s="29" customFormat="1" ht="15" customHeight="1" x14ac:dyDescent="0.35">
      <c r="B53" s="19"/>
      <c r="C53" s="259" t="s">
        <v>201</v>
      </c>
      <c r="D53" s="259"/>
      <c r="E53" s="259"/>
      <c r="F53" s="259" t="s">
        <v>177</v>
      </c>
      <c r="G53" s="259"/>
      <c r="H53" s="259"/>
      <c r="I53" s="259"/>
      <c r="J53" s="259"/>
      <c r="K53" s="259" t="s">
        <v>213</v>
      </c>
      <c r="L53" s="259"/>
      <c r="M53" s="259"/>
      <c r="N53" s="259"/>
      <c r="O53" s="259"/>
      <c r="P53" s="19"/>
      <c r="Q53" s="19"/>
      <c r="R53" s="171"/>
      <c r="S53" s="170"/>
      <c r="T53" s="157"/>
    </row>
    <row r="54" spans="1:21" s="29" customFormat="1" ht="39" x14ac:dyDescent="0.35">
      <c r="B54" s="19"/>
      <c r="C54" s="259"/>
      <c r="D54" s="259"/>
      <c r="E54" s="259"/>
      <c r="F54" s="81" t="s">
        <v>149</v>
      </c>
      <c r="G54" s="81" t="s">
        <v>209</v>
      </c>
      <c r="H54" s="81" t="s">
        <v>150</v>
      </c>
      <c r="I54" s="81" t="s">
        <v>151</v>
      </c>
      <c r="J54" s="81" t="s">
        <v>152</v>
      </c>
      <c r="K54" s="81" t="s">
        <v>149</v>
      </c>
      <c r="L54" s="81" t="s">
        <v>209</v>
      </c>
      <c r="M54" s="81" t="s">
        <v>150</v>
      </c>
      <c r="N54" s="81" t="s">
        <v>151</v>
      </c>
      <c r="O54" s="81" t="s">
        <v>152</v>
      </c>
      <c r="Q54" s="19"/>
      <c r="R54" s="19"/>
      <c r="S54" s="171"/>
      <c r="T54" s="170"/>
      <c r="U54" s="157"/>
    </row>
    <row r="55" spans="1:21" s="29" customFormat="1" x14ac:dyDescent="0.35">
      <c r="B55" s="19"/>
      <c r="C55" s="250" t="s">
        <v>129</v>
      </c>
      <c r="D55" s="276"/>
      <c r="E55" s="251"/>
      <c r="F55" s="83">
        <v>3</v>
      </c>
      <c r="G55" s="83"/>
      <c r="H55" s="83">
        <v>9</v>
      </c>
      <c r="I55" s="83"/>
      <c r="J55" s="56">
        <f t="shared" ref="J55:J60" si="0">SUM(F55:I55)</f>
        <v>12</v>
      </c>
      <c r="K55" s="83">
        <v>3</v>
      </c>
      <c r="L55" s="83"/>
      <c r="M55" s="83">
        <v>6</v>
      </c>
      <c r="N55" s="57"/>
      <c r="O55" s="56">
        <f t="shared" ref="O55:O60" si="1">SUM(K55:N55)</f>
        <v>9</v>
      </c>
      <c r="Q55" s="19"/>
      <c r="R55" s="19"/>
      <c r="S55" s="171"/>
      <c r="T55" s="170"/>
      <c r="U55" s="157"/>
    </row>
    <row r="56" spans="1:21" s="29" customFormat="1" x14ac:dyDescent="0.35">
      <c r="B56" s="19"/>
      <c r="C56" s="250" t="s">
        <v>52</v>
      </c>
      <c r="D56" s="276"/>
      <c r="E56" s="251"/>
      <c r="F56" s="83"/>
      <c r="G56" s="83"/>
      <c r="H56" s="83"/>
      <c r="I56" s="83">
        <v>14.4</v>
      </c>
      <c r="J56" s="56">
        <f t="shared" si="0"/>
        <v>14.4</v>
      </c>
      <c r="K56" s="83"/>
      <c r="L56" s="83"/>
      <c r="M56" s="57"/>
      <c r="N56" s="57"/>
      <c r="O56" s="56">
        <f t="shared" si="1"/>
        <v>0</v>
      </c>
      <c r="Q56" s="19"/>
      <c r="R56" s="19"/>
      <c r="S56" s="171"/>
      <c r="T56" s="170"/>
      <c r="U56" s="157"/>
    </row>
    <row r="57" spans="1:21" s="29" customFormat="1" x14ac:dyDescent="0.35">
      <c r="B57" s="19"/>
      <c r="C57" s="250" t="s">
        <v>50</v>
      </c>
      <c r="D57" s="276"/>
      <c r="E57" s="251"/>
      <c r="F57" s="83"/>
      <c r="G57" s="83"/>
      <c r="H57" s="83"/>
      <c r="I57" s="83">
        <v>4.8</v>
      </c>
      <c r="J57" s="56">
        <f t="shared" si="0"/>
        <v>4.8</v>
      </c>
      <c r="K57" s="83"/>
      <c r="L57" s="83"/>
      <c r="M57" s="57"/>
      <c r="N57" s="57"/>
      <c r="O57" s="56">
        <f t="shared" si="1"/>
        <v>0</v>
      </c>
      <c r="Q57" s="19"/>
      <c r="R57" s="19"/>
      <c r="S57" s="171"/>
      <c r="T57" s="170"/>
      <c r="U57" s="157"/>
    </row>
    <row r="58" spans="1:21" s="29" customFormat="1" ht="15" customHeight="1" x14ac:dyDescent="0.35">
      <c r="B58" s="19"/>
      <c r="C58" s="250" t="s">
        <v>210</v>
      </c>
      <c r="D58" s="276"/>
      <c r="E58" s="251"/>
      <c r="F58" s="83"/>
      <c r="G58" s="83">
        <v>0.5</v>
      </c>
      <c r="H58" s="83"/>
      <c r="I58" s="83"/>
      <c r="J58" s="56">
        <f t="shared" si="0"/>
        <v>0.5</v>
      </c>
      <c r="K58" s="83"/>
      <c r="L58" s="83">
        <v>0.5</v>
      </c>
      <c r="M58" s="83"/>
      <c r="N58" s="57"/>
      <c r="O58" s="56">
        <f t="shared" si="1"/>
        <v>0.5</v>
      </c>
      <c r="Q58" s="19"/>
      <c r="R58" s="19"/>
      <c r="S58" s="171"/>
      <c r="T58" s="170"/>
      <c r="U58" s="157"/>
    </row>
    <row r="59" spans="1:21" s="29" customFormat="1" x14ac:dyDescent="0.35">
      <c r="B59" s="19"/>
      <c r="C59" s="250" t="s">
        <v>5</v>
      </c>
      <c r="D59" s="276"/>
      <c r="E59" s="251"/>
      <c r="F59" s="83">
        <v>0.6</v>
      </c>
      <c r="G59" s="83"/>
      <c r="H59" s="83"/>
      <c r="I59" s="83"/>
      <c r="J59" s="56">
        <f t="shared" si="0"/>
        <v>0.6</v>
      </c>
      <c r="K59" s="83">
        <v>0.6</v>
      </c>
      <c r="L59" s="83"/>
      <c r="M59" s="57"/>
      <c r="N59" s="57"/>
      <c r="O59" s="56">
        <f t="shared" si="1"/>
        <v>0.6</v>
      </c>
      <c r="Q59" s="19"/>
      <c r="R59" s="19"/>
      <c r="S59" s="171"/>
      <c r="T59" s="170"/>
      <c r="U59" s="157"/>
    </row>
    <row r="60" spans="1:21" s="29" customFormat="1" x14ac:dyDescent="0.35">
      <c r="B60" s="19"/>
      <c r="C60" s="250" t="s">
        <v>152</v>
      </c>
      <c r="D60" s="276"/>
      <c r="E60" s="251"/>
      <c r="F60" s="56">
        <f>SUM(F55:F59)</f>
        <v>3.6</v>
      </c>
      <c r="G60" s="56">
        <f>SUM(G55:G59)</f>
        <v>0.5</v>
      </c>
      <c r="H60" s="56">
        <f>SUM(H55:H59)</f>
        <v>9</v>
      </c>
      <c r="I60" s="56">
        <f>SUM(I55:I59)</f>
        <v>19.2</v>
      </c>
      <c r="J60" s="58">
        <f t="shared" si="0"/>
        <v>32.299999999999997</v>
      </c>
      <c r="K60" s="56">
        <f>SUM(K55:K59)</f>
        <v>3.6</v>
      </c>
      <c r="L60" s="56">
        <f>SUM(L55:L59)</f>
        <v>0.5</v>
      </c>
      <c r="M60" s="56">
        <f>SUM(M55:M59)</f>
        <v>6</v>
      </c>
      <c r="N60" s="56">
        <f>SUM(N55:N59)</f>
        <v>0</v>
      </c>
      <c r="O60" s="58">
        <f t="shared" si="1"/>
        <v>10.1</v>
      </c>
      <c r="Q60" s="19"/>
      <c r="R60" s="19"/>
      <c r="S60" s="171"/>
      <c r="T60" s="170"/>
      <c r="U60" s="157"/>
    </row>
    <row r="61" spans="1:21" s="29" customFormat="1" x14ac:dyDescent="0.35">
      <c r="B61" s="19"/>
      <c r="C61" s="19"/>
      <c r="D61" s="19"/>
      <c r="E61" s="157"/>
      <c r="F61" s="157"/>
      <c r="G61" s="157"/>
      <c r="H61" s="157"/>
      <c r="I61" s="157"/>
      <c r="O61" s="19"/>
      <c r="P61" s="19"/>
      <c r="Q61" s="171"/>
      <c r="R61" s="170"/>
      <c r="S61" s="157"/>
    </row>
    <row r="62" spans="1:21" ht="15.5" x14ac:dyDescent="0.35">
      <c r="A62" s="174"/>
      <c r="B62" s="175" t="s">
        <v>98</v>
      </c>
      <c r="C62" s="176"/>
      <c r="D62" s="176"/>
      <c r="E62" s="176"/>
      <c r="F62" s="176"/>
      <c r="G62" s="176"/>
      <c r="H62" s="176"/>
      <c r="I62" s="176"/>
      <c r="J62" s="176"/>
      <c r="K62" s="176"/>
      <c r="L62" s="176"/>
      <c r="M62" s="176"/>
      <c r="N62" s="176"/>
      <c r="O62" s="176"/>
      <c r="P62" s="176"/>
      <c r="Q62" s="176"/>
      <c r="R62" s="177"/>
      <c r="S62" s="18"/>
    </row>
    <row r="63" spans="1:21" x14ac:dyDescent="0.35">
      <c r="E63" s="157"/>
      <c r="F63" s="157"/>
      <c r="G63" s="157"/>
      <c r="H63" s="157"/>
      <c r="I63" s="157"/>
      <c r="J63" s="29"/>
      <c r="K63" s="29"/>
      <c r="L63" s="29"/>
      <c r="M63" s="29"/>
      <c r="N63" s="29"/>
      <c r="Q63" s="171"/>
    </row>
    <row r="64" spans="1:21" ht="31.5" customHeight="1" x14ac:dyDescent="0.35">
      <c r="D64" s="247" t="s">
        <v>201</v>
      </c>
      <c r="E64" s="252"/>
      <c r="F64" s="245" t="s">
        <v>73</v>
      </c>
      <c r="G64" s="258" t="s">
        <v>54</v>
      </c>
      <c r="H64" s="258" t="s">
        <v>178</v>
      </c>
      <c r="I64" s="258" t="s">
        <v>183</v>
      </c>
      <c r="J64" s="258" t="s">
        <v>211</v>
      </c>
      <c r="K64" s="245" t="s">
        <v>179</v>
      </c>
      <c r="L64" s="258" t="s">
        <v>180</v>
      </c>
      <c r="M64" s="258" t="s">
        <v>202</v>
      </c>
      <c r="O64" s="171"/>
      <c r="R64" s="29"/>
      <c r="S64" s="18"/>
      <c r="T64" s="18"/>
    </row>
    <row r="65" spans="1:20" ht="31.5" customHeight="1" x14ac:dyDescent="0.35">
      <c r="D65" s="248"/>
      <c r="E65" s="253"/>
      <c r="F65" s="246"/>
      <c r="G65" s="258"/>
      <c r="H65" s="258"/>
      <c r="I65" s="258"/>
      <c r="J65" s="258"/>
      <c r="K65" s="246"/>
      <c r="L65" s="258"/>
      <c r="M65" s="258"/>
      <c r="O65" s="171"/>
      <c r="R65" s="29"/>
      <c r="S65" s="18"/>
      <c r="T65" s="18"/>
    </row>
    <row r="66" spans="1:20" x14ac:dyDescent="0.35">
      <c r="D66" s="262" t="s">
        <v>129</v>
      </c>
      <c r="E66" s="263"/>
      <c r="F66" s="249" t="str">
        <f>'Data Input'!$I$8</f>
        <v>(Drop-down)</v>
      </c>
      <c r="G66" s="266" t="str">
        <f>'Data Input'!$K$10</f>
        <v>(Drop-down)</v>
      </c>
      <c r="H66" s="59" t="s">
        <v>181</v>
      </c>
      <c r="I66" s="84">
        <f>$H$60</f>
        <v>9</v>
      </c>
      <c r="J66" s="60" t="s">
        <v>55</v>
      </c>
      <c r="K66" s="61">
        <f>$D$49</f>
        <v>568.1</v>
      </c>
      <c r="L66" s="62" t="str">
        <f>IFERROR(IF('Data Input'!$K$18="NO","N/A",INDEX('REF - HDD,CDD  data'!$C$8:$H$21,MATCH('NWUI Calculations'!F66,'REF - HDD,CDD  data'!$B$8:$B$21,0),MATCH('NWUI Calculations'!G66,'REF - HDD,CDD  data'!$C$7:$H$7,0))),"")</f>
        <v/>
      </c>
      <c r="M66" s="63" t="str">
        <f>IFERROR(IF('Data Input'!$K$18="NO",'NWUI Calculations'!I66,ROUND(I66*L66/K66,2)),"")</f>
        <v/>
      </c>
      <c r="O66" s="171"/>
      <c r="R66" s="29"/>
      <c r="S66" s="18"/>
      <c r="T66" s="18"/>
    </row>
    <row r="67" spans="1:20" x14ac:dyDescent="0.35">
      <c r="D67" s="264"/>
      <c r="E67" s="265"/>
      <c r="F67" s="249"/>
      <c r="G67" s="266"/>
      <c r="H67" s="59" t="s">
        <v>182</v>
      </c>
      <c r="I67" s="84">
        <f>$M$60</f>
        <v>6</v>
      </c>
      <c r="J67" s="60" t="s">
        <v>55</v>
      </c>
      <c r="K67" s="61">
        <f>$D$49</f>
        <v>568.1</v>
      </c>
      <c r="L67" s="62" t="str">
        <f>IFERROR(IF('Data Input'!$K$18="NO","N/A",INDEX('REF - HDD,CDD  data'!$C$8:$H$21,MATCH('NWUI Calculations'!F66,'REF - HDD,CDD  data'!$B$8:$B$21,0),MATCH('NWUI Calculations'!G66,'REF - HDD,CDD  data'!$C$7:$H$7,0))),"")</f>
        <v/>
      </c>
      <c r="M67" s="63" t="str">
        <f>IFERROR(IF('Data Input'!$K$18="NO",'NWUI Calculations'!I67,ROUND(I67*L67/K67,2)),"")</f>
        <v/>
      </c>
      <c r="O67" s="171"/>
      <c r="R67" s="29"/>
      <c r="S67" s="18"/>
      <c r="T67" s="18"/>
    </row>
    <row r="68" spans="1:20" x14ac:dyDescent="0.35">
      <c r="D68" s="262" t="s">
        <v>210</v>
      </c>
      <c r="E68" s="263"/>
      <c r="F68" s="249"/>
      <c r="G68" s="266"/>
      <c r="H68" s="59" t="s">
        <v>181</v>
      </c>
      <c r="I68" s="84">
        <f>$G$60</f>
        <v>0.5</v>
      </c>
      <c r="J68" s="60" t="s">
        <v>208</v>
      </c>
      <c r="K68" s="61">
        <f>$C$49</f>
        <v>3034.7</v>
      </c>
      <c r="L68" s="62" t="str">
        <f>IFERROR(IF('Data Input'!K18="NO","N/A",INDEX('REF - HDD,CDD  data'!$I$8:$N$21,MATCH('NWUI Calculations'!F66,'REF - HDD,CDD  data'!$B$8:$B$21,0),MATCH('NWUI Calculations'!G66,'REF - HDD,CDD  data'!$I$7:$N$7,0))),"")</f>
        <v/>
      </c>
      <c r="M68" s="63" t="str">
        <f>IFERROR(IF('Data Input'!$K$18="NO",'NWUI Calculations'!I68,ROUND(I68*(L68-1500)/(K68-1500),2)),"")</f>
        <v/>
      </c>
      <c r="O68" s="171"/>
      <c r="R68" s="29"/>
      <c r="S68" s="18"/>
      <c r="T68" s="18"/>
    </row>
    <row r="69" spans="1:20" x14ac:dyDescent="0.35">
      <c r="D69" s="264"/>
      <c r="E69" s="265"/>
      <c r="F69" s="249"/>
      <c r="G69" s="266"/>
      <c r="H69" s="59" t="s">
        <v>182</v>
      </c>
      <c r="I69" s="84">
        <f>$L$60</f>
        <v>0.5</v>
      </c>
      <c r="J69" s="60" t="s">
        <v>208</v>
      </c>
      <c r="K69" s="61">
        <f>$C$49</f>
        <v>3034.7</v>
      </c>
      <c r="L69" s="62" t="str">
        <f>IFERROR(IF('Data Input'!K18="NO","N/A",INDEX('REF - HDD,CDD  data'!$I$8:$N$21,MATCH('NWUI Calculations'!F66,'REF - HDD,CDD  data'!$B$8:$B$21,0),MATCH('NWUI Calculations'!G66,'REF - HDD,CDD  data'!$I$7:$N$7,0))),"")</f>
        <v/>
      </c>
      <c r="M69" s="63" t="str">
        <f>IFERROR(IF('Data Input'!$K$18="NO",'NWUI Calculations'!I69,ROUND(I69*(L69-1500)/(K69-1500),2)),"")</f>
        <v/>
      </c>
      <c r="O69" s="171"/>
      <c r="R69" s="29"/>
      <c r="S69" s="18"/>
      <c r="T69" s="18"/>
    </row>
    <row r="70" spans="1:20" x14ac:dyDescent="0.35">
      <c r="E70" s="157"/>
      <c r="F70" s="157"/>
      <c r="G70" s="157"/>
      <c r="H70" s="157"/>
      <c r="I70" s="157"/>
      <c r="J70" s="180"/>
      <c r="K70" s="181"/>
      <c r="L70" s="29"/>
      <c r="M70" s="29"/>
      <c r="N70" s="29"/>
      <c r="Q70" s="171"/>
    </row>
    <row r="71" spans="1:20" ht="15.5" x14ac:dyDescent="0.35">
      <c r="A71" s="174"/>
      <c r="B71" s="175" t="s">
        <v>99</v>
      </c>
      <c r="C71" s="176"/>
      <c r="D71" s="176"/>
      <c r="E71" s="176"/>
      <c r="F71" s="176"/>
      <c r="G71" s="176"/>
      <c r="H71" s="176"/>
      <c r="I71" s="176"/>
      <c r="J71" s="176"/>
      <c r="K71" s="176"/>
      <c r="L71" s="176"/>
      <c r="M71" s="176"/>
      <c r="N71" s="176"/>
      <c r="O71" s="176"/>
      <c r="P71" s="176"/>
      <c r="Q71" s="176"/>
      <c r="R71" s="177"/>
      <c r="S71" s="18"/>
    </row>
    <row r="72" spans="1:20" ht="14.5" customHeight="1" x14ac:dyDescent="0.35">
      <c r="E72" s="157"/>
      <c r="F72" s="157"/>
      <c r="G72" s="157"/>
      <c r="H72" s="157"/>
      <c r="I72" s="157"/>
      <c r="J72" s="29"/>
      <c r="K72" s="29"/>
      <c r="L72" s="29"/>
      <c r="M72" s="29"/>
      <c r="N72" s="29"/>
      <c r="Q72" s="171"/>
      <c r="R72" s="29"/>
      <c r="S72" s="29"/>
    </row>
    <row r="73" spans="1:20" ht="42" customHeight="1" x14ac:dyDescent="0.35">
      <c r="D73" s="247" t="s">
        <v>201</v>
      </c>
      <c r="E73" s="252"/>
      <c r="F73" s="258" t="s">
        <v>203</v>
      </c>
      <c r="G73" s="254" t="s">
        <v>184</v>
      </c>
      <c r="H73" s="255"/>
      <c r="I73" s="254" t="s">
        <v>185</v>
      </c>
      <c r="J73" s="255"/>
      <c r="K73" s="247" t="s">
        <v>204</v>
      </c>
      <c r="L73" s="254" t="s">
        <v>186</v>
      </c>
      <c r="M73" s="255"/>
      <c r="N73" s="245" t="s">
        <v>205</v>
      </c>
      <c r="O73" s="29"/>
      <c r="Q73" s="29"/>
      <c r="R73" s="29"/>
      <c r="S73" s="18"/>
      <c r="T73" s="18"/>
    </row>
    <row r="74" spans="1:20" ht="27" customHeight="1" x14ac:dyDescent="0.35">
      <c r="D74" s="248"/>
      <c r="E74" s="253"/>
      <c r="F74" s="258"/>
      <c r="G74" s="182" t="s">
        <v>187</v>
      </c>
      <c r="H74" s="165" t="s">
        <v>188</v>
      </c>
      <c r="I74" s="165" t="s">
        <v>189</v>
      </c>
      <c r="J74" s="165" t="s">
        <v>190</v>
      </c>
      <c r="K74" s="248"/>
      <c r="L74" s="165" t="s">
        <v>187</v>
      </c>
      <c r="M74" s="165" t="s">
        <v>188</v>
      </c>
      <c r="N74" s="246"/>
      <c r="O74" s="29"/>
      <c r="Q74" s="29"/>
      <c r="R74" s="29"/>
      <c r="S74" s="18"/>
      <c r="T74" s="18"/>
    </row>
    <row r="75" spans="1:20" ht="14.25" customHeight="1" x14ac:dyDescent="0.35">
      <c r="D75" s="250" t="s">
        <v>52</v>
      </c>
      <c r="E75" s="251"/>
      <c r="F75" s="64">
        <f>I56</f>
        <v>14.4</v>
      </c>
      <c r="G75" s="256" t="str">
        <f>'Data Input'!$K$15</f>
        <v/>
      </c>
      <c r="H75" s="260" t="str">
        <f>IFERROR(G75/$E$49,"")</f>
        <v/>
      </c>
      <c r="I75" s="82">
        <v>0.05</v>
      </c>
      <c r="J75" s="82"/>
      <c r="K75" s="60" t="str">
        <f>IF($H$75="","",MEDIAN($H$75,IF(ISBLANK($I75),0,$I75),IF(ISBLANK($J75),100,$J75))*$F75)</f>
        <v/>
      </c>
      <c r="L75" s="261">
        <f>'Data Input'!$K$16</f>
        <v>0</v>
      </c>
      <c r="M75" s="260">
        <f>MAX(L75,$F$49)/$F$49</f>
        <v>1</v>
      </c>
      <c r="N75" s="65" t="str">
        <f>IFERROR(ROUND($K75*$M$75,2),"")</f>
        <v/>
      </c>
      <c r="O75" s="29"/>
      <c r="Q75" s="29"/>
      <c r="R75" s="29"/>
      <c r="S75" s="18"/>
      <c r="T75" s="18"/>
    </row>
    <row r="76" spans="1:20" ht="14.25" customHeight="1" x14ac:dyDescent="0.35">
      <c r="D76" s="250" t="s">
        <v>153</v>
      </c>
      <c r="E76" s="251"/>
      <c r="F76" s="64">
        <f>I57</f>
        <v>4.8</v>
      </c>
      <c r="G76" s="257"/>
      <c r="H76" s="260"/>
      <c r="I76" s="82">
        <v>0.05</v>
      </c>
      <c r="J76" s="82"/>
      <c r="K76" s="60" t="str">
        <f>IF($H$75="","",MEDIAN($H$75,IF(ISBLANK($I76),0,$I76),IF(ISBLANK($J76),100,$J76))*$F76)</f>
        <v/>
      </c>
      <c r="L76" s="261"/>
      <c r="M76" s="260"/>
      <c r="N76" s="65" t="str">
        <f>IFERROR(ROUND($K76*$M$75,2),"")</f>
        <v/>
      </c>
      <c r="O76" s="29"/>
      <c r="Q76" s="29"/>
      <c r="R76" s="29"/>
      <c r="S76" s="18"/>
      <c r="T76" s="18"/>
    </row>
    <row r="77" spans="1:20" x14ac:dyDescent="0.35">
      <c r="C77" s="18"/>
      <c r="D77" s="18"/>
      <c r="E77" s="18"/>
      <c r="F77" s="18"/>
      <c r="G77" s="18"/>
      <c r="H77" s="18"/>
      <c r="I77" s="18"/>
      <c r="J77" s="18"/>
      <c r="K77" s="18"/>
      <c r="L77" s="18"/>
      <c r="M77" s="66" t="s">
        <v>191</v>
      </c>
      <c r="N77" s="67" t="str">
        <f>IF(AND(N75="",N76=""),"N/A",SUM(N75:N76))</f>
        <v>N/A</v>
      </c>
      <c r="O77" s="29"/>
      <c r="Q77" s="29"/>
      <c r="R77" s="29"/>
      <c r="S77" s="18"/>
      <c r="T77" s="18"/>
    </row>
    <row r="78" spans="1:20" s="29" customFormat="1" ht="14.5" customHeight="1" x14ac:dyDescent="0.35">
      <c r="B78" s="19"/>
      <c r="C78" s="19"/>
      <c r="D78" s="19"/>
      <c r="E78" s="157"/>
      <c r="F78" s="157"/>
      <c r="G78" s="157"/>
      <c r="Q78" s="171"/>
      <c r="R78" s="19"/>
      <c r="S78" s="19"/>
    </row>
    <row r="79" spans="1:20" s="29" customFormat="1" ht="15.5" x14ac:dyDescent="0.35">
      <c r="A79" s="174"/>
      <c r="B79" s="175" t="s">
        <v>103</v>
      </c>
      <c r="C79" s="176"/>
      <c r="D79" s="176"/>
      <c r="E79" s="176"/>
      <c r="F79" s="176"/>
      <c r="G79" s="176"/>
      <c r="H79" s="176"/>
      <c r="I79" s="176"/>
      <c r="J79" s="176"/>
      <c r="K79" s="176"/>
      <c r="L79" s="176"/>
      <c r="M79" s="176"/>
      <c r="N79" s="176"/>
      <c r="O79" s="176"/>
      <c r="P79" s="176"/>
      <c r="Q79" s="176"/>
      <c r="R79" s="177"/>
      <c r="S79" s="19"/>
    </row>
    <row r="80" spans="1:20" s="29" customFormat="1" x14ac:dyDescent="0.35">
      <c r="B80" s="19"/>
      <c r="C80" s="19"/>
      <c r="D80" s="19"/>
      <c r="E80" s="157"/>
      <c r="F80" s="157"/>
      <c r="G80" s="157"/>
      <c r="Q80" s="171"/>
      <c r="R80" s="19"/>
      <c r="S80" s="19"/>
    </row>
    <row r="81" spans="1:19" s="29" customFormat="1" x14ac:dyDescent="0.35">
      <c r="B81" s="19"/>
      <c r="C81" s="19"/>
      <c r="D81" s="19"/>
      <c r="E81" s="19"/>
      <c r="F81" s="19"/>
      <c r="G81" s="19"/>
      <c r="H81" s="19"/>
      <c r="I81" s="19"/>
      <c r="J81" s="183" t="s">
        <v>192</v>
      </c>
      <c r="K81" s="184">
        <f>'Data Input'!$K$14</f>
        <v>0</v>
      </c>
      <c r="L81" s="19"/>
      <c r="M81" s="19"/>
      <c r="Q81" s="19"/>
      <c r="R81" s="19"/>
      <c r="S81" s="19"/>
    </row>
    <row r="82" spans="1:19" s="29" customFormat="1" ht="15" customHeight="1" x14ac:dyDescent="0.35">
      <c r="B82" s="19"/>
      <c r="G82" s="269" t="s">
        <v>104</v>
      </c>
      <c r="H82" s="270"/>
      <c r="I82" s="273" t="s">
        <v>206</v>
      </c>
      <c r="J82" s="274"/>
      <c r="K82" s="275"/>
      <c r="L82" s="171"/>
      <c r="M82" s="243" t="s">
        <v>119</v>
      </c>
      <c r="Q82" s="19"/>
      <c r="R82" s="19"/>
      <c r="S82" s="19"/>
    </row>
    <row r="83" spans="1:19" s="29" customFormat="1" x14ac:dyDescent="0.35">
      <c r="B83" s="19"/>
      <c r="G83" s="271"/>
      <c r="H83" s="272"/>
      <c r="I83" s="68" t="s">
        <v>181</v>
      </c>
      <c r="J83" s="68" t="s">
        <v>182</v>
      </c>
      <c r="K83" s="68" t="s">
        <v>193</v>
      </c>
      <c r="L83" s="171"/>
      <c r="M83" s="244"/>
      <c r="Q83" s="19"/>
      <c r="R83" s="19"/>
      <c r="S83" s="19"/>
    </row>
    <row r="84" spans="1:19" s="29" customFormat="1" x14ac:dyDescent="0.35">
      <c r="B84" s="19"/>
      <c r="G84" s="267" t="s">
        <v>105</v>
      </c>
      <c r="H84" s="268"/>
      <c r="I84" s="69">
        <f>$F$60</f>
        <v>3.6</v>
      </c>
      <c r="J84" s="69">
        <f>$K$60</f>
        <v>3.6</v>
      </c>
      <c r="K84" s="52">
        <f>ROUND(I84*(1-$K$81)+J84*$K$81,2)</f>
        <v>3.6</v>
      </c>
      <c r="L84" s="171"/>
      <c r="M84" s="70">
        <f>$F$60</f>
        <v>3.6</v>
      </c>
      <c r="Q84" s="19"/>
      <c r="R84" s="19"/>
      <c r="S84" s="19"/>
    </row>
    <row r="85" spans="1:19" s="29" customFormat="1" x14ac:dyDescent="0.35">
      <c r="B85" s="19"/>
      <c r="G85" s="185" t="s">
        <v>212</v>
      </c>
      <c r="H85" s="186"/>
      <c r="I85" s="69" t="str">
        <f>IF($M$68="","N/A",$M$68)</f>
        <v>N/A</v>
      </c>
      <c r="J85" s="69" t="str">
        <f>IF($M$69="","N/A",$M$69)</f>
        <v>N/A</v>
      </c>
      <c r="K85" s="71" t="str">
        <f>IFERROR(ROUND(I85*(1-$K$81)+J85*$K$81,2),"N/A")</f>
        <v>N/A</v>
      </c>
      <c r="L85" s="171"/>
      <c r="M85" s="70">
        <f>$G$60</f>
        <v>0.5</v>
      </c>
      <c r="Q85" s="19"/>
      <c r="R85" s="19"/>
      <c r="S85" s="19"/>
    </row>
    <row r="86" spans="1:19" s="29" customFormat="1" x14ac:dyDescent="0.35">
      <c r="B86" s="19"/>
      <c r="G86" s="267" t="s">
        <v>75</v>
      </c>
      <c r="H86" s="268"/>
      <c r="I86" s="69" t="str">
        <f>IF($M$66="","N/A",$M$66)</f>
        <v>N/A</v>
      </c>
      <c r="J86" s="69" t="str">
        <f>IF($M$67="","N/A",$M$67)</f>
        <v>N/A</v>
      </c>
      <c r="K86" s="71" t="str">
        <f>IFERROR(ROUND(I86*(1-$K$81)+J86*$K$81,2),"N/A")</f>
        <v>N/A</v>
      </c>
      <c r="L86" s="171"/>
      <c r="M86" s="70">
        <f>$H$60</f>
        <v>9</v>
      </c>
      <c r="Q86" s="19"/>
      <c r="R86" s="19"/>
      <c r="S86" s="19"/>
    </row>
    <row r="87" spans="1:19" s="29" customFormat="1" x14ac:dyDescent="0.35">
      <c r="B87" s="19"/>
      <c r="G87" s="267" t="s">
        <v>194</v>
      </c>
      <c r="H87" s="268"/>
      <c r="I87" s="69" t="str">
        <f>N77</f>
        <v>N/A</v>
      </c>
      <c r="J87" s="69">
        <f>$N$60</f>
        <v>0</v>
      </c>
      <c r="K87" s="71" t="str">
        <f>IFERROR(ROUND(I87*(1-$K$81)+J87*$K$81,2),"N/A")</f>
        <v>N/A</v>
      </c>
      <c r="L87" s="171"/>
      <c r="M87" s="70">
        <f>$I$60</f>
        <v>19.2</v>
      </c>
      <c r="Q87" s="19"/>
      <c r="R87" s="19"/>
      <c r="S87" s="19"/>
    </row>
    <row r="88" spans="1:19" s="29" customFormat="1" x14ac:dyDescent="0.35">
      <c r="B88" s="19"/>
      <c r="C88" s="19"/>
      <c r="D88" s="19"/>
      <c r="E88" s="19"/>
      <c r="F88" s="19"/>
      <c r="G88" s="19"/>
      <c r="H88" s="19"/>
      <c r="I88" s="19"/>
      <c r="J88" s="19"/>
      <c r="K88" s="72">
        <f>SUM(K84:K87)</f>
        <v>3.6</v>
      </c>
      <c r="L88" s="171"/>
      <c r="M88" s="72">
        <f>SUM(M84:M87)</f>
        <v>32.299999999999997</v>
      </c>
      <c r="Q88" s="19"/>
      <c r="R88" s="19"/>
      <c r="S88" s="19"/>
    </row>
    <row r="89" spans="1:19" s="29" customFormat="1" x14ac:dyDescent="0.35">
      <c r="B89" s="19"/>
      <c r="C89" s="19"/>
      <c r="D89" s="19"/>
      <c r="E89" s="19"/>
      <c r="F89" s="19"/>
      <c r="G89" s="19"/>
      <c r="H89" s="19"/>
      <c r="I89" s="19"/>
      <c r="J89" s="19"/>
      <c r="K89" s="19"/>
      <c r="L89" s="19"/>
      <c r="M89" s="19"/>
      <c r="Q89" s="19"/>
      <c r="R89" s="19"/>
      <c r="S89" s="19"/>
    </row>
    <row r="90" spans="1:19" s="29" customFormat="1" ht="16.5" x14ac:dyDescent="0.45">
      <c r="B90" s="19"/>
      <c r="C90" s="18"/>
      <c r="D90" s="18"/>
      <c r="E90" s="18"/>
      <c r="F90" s="18"/>
      <c r="G90" s="18"/>
      <c r="H90" s="18"/>
      <c r="I90" s="18"/>
      <c r="J90" s="18" t="s">
        <v>140</v>
      </c>
      <c r="K90" s="18"/>
      <c r="L90" s="18"/>
      <c r="M90" s="73">
        <f>M88/K88</f>
        <v>8.9722222222222214</v>
      </c>
      <c r="Q90" s="19"/>
      <c r="R90" s="19"/>
      <c r="S90" s="19"/>
    </row>
    <row r="91" spans="1:19" s="29" customFormat="1" x14ac:dyDescent="0.35">
      <c r="B91" s="19"/>
      <c r="Q91" s="19"/>
      <c r="R91" s="19"/>
      <c r="S91" s="19"/>
    </row>
    <row r="92" spans="1:19" s="29" customFormat="1" ht="23.5" x14ac:dyDescent="0.55000000000000004">
      <c r="A92" s="155"/>
      <c r="B92" s="156" t="s">
        <v>138</v>
      </c>
      <c r="C92" s="156"/>
      <c r="D92" s="156"/>
      <c r="E92" s="156"/>
      <c r="F92" s="156"/>
      <c r="G92" s="156"/>
      <c r="H92" s="156"/>
      <c r="I92" s="156"/>
      <c r="J92" s="156"/>
      <c r="K92" s="156"/>
      <c r="L92" s="156"/>
      <c r="M92" s="156"/>
      <c r="N92" s="156"/>
      <c r="O92" s="156"/>
      <c r="P92" s="156"/>
      <c r="Q92" s="156"/>
      <c r="R92" s="156"/>
      <c r="S92" s="157"/>
    </row>
    <row r="93" spans="1:19" s="29" customFormat="1" ht="14.5" customHeight="1" x14ac:dyDescent="0.35">
      <c r="B93" s="19"/>
      <c r="C93" s="19"/>
      <c r="D93" s="19"/>
      <c r="E93" s="157"/>
      <c r="F93" s="157"/>
      <c r="G93" s="157"/>
      <c r="H93" s="157"/>
      <c r="I93" s="157"/>
      <c r="O93" s="19"/>
      <c r="P93" s="19"/>
      <c r="Q93" s="171"/>
    </row>
    <row r="94" spans="1:19" s="29" customFormat="1" ht="14.5" customHeight="1" x14ac:dyDescent="0.35">
      <c r="B94" s="19"/>
      <c r="C94" s="187" t="s">
        <v>117</v>
      </c>
      <c r="D94" s="188"/>
      <c r="E94" s="188"/>
      <c r="F94" s="188"/>
      <c r="G94" s="188"/>
      <c r="H94" s="188"/>
      <c r="I94" s="188"/>
      <c r="J94" s="18"/>
      <c r="K94" s="18"/>
      <c r="L94" s="18"/>
      <c r="M94" s="18"/>
      <c r="O94" s="19"/>
      <c r="P94" s="19"/>
      <c r="Q94" s="171"/>
    </row>
    <row r="95" spans="1:19" s="29" customFormat="1" ht="14.5" customHeight="1" x14ac:dyDescent="0.35">
      <c r="B95" s="19"/>
      <c r="C95" s="19"/>
      <c r="D95" s="19"/>
      <c r="E95" s="157"/>
      <c r="F95" s="157"/>
      <c r="G95" s="157"/>
      <c r="H95" s="157"/>
      <c r="I95" s="157"/>
      <c r="J95" s="18"/>
      <c r="K95" s="18"/>
      <c r="L95" s="18"/>
      <c r="M95" s="18"/>
      <c r="O95" s="19"/>
      <c r="P95" s="19"/>
      <c r="Q95" s="171"/>
    </row>
    <row r="96" spans="1:19" s="29" customFormat="1" x14ac:dyDescent="0.35">
      <c r="C96" s="162" t="s">
        <v>102</v>
      </c>
      <c r="J96" s="18"/>
      <c r="K96" s="18"/>
      <c r="L96" s="18"/>
      <c r="M96" s="18"/>
      <c r="R96" s="19"/>
      <c r="S96" s="19"/>
    </row>
    <row r="97" spans="1:19" s="29" customFormat="1" ht="6" customHeight="1" x14ac:dyDescent="0.35">
      <c r="J97" s="18"/>
      <c r="K97" s="18"/>
      <c r="L97" s="18"/>
      <c r="M97" s="18"/>
      <c r="R97" s="19"/>
      <c r="S97" s="19"/>
    </row>
    <row r="98" spans="1:19" s="29" customFormat="1" ht="52" x14ac:dyDescent="0.35">
      <c r="D98" s="178" t="s">
        <v>126</v>
      </c>
      <c r="E98" s="178" t="s">
        <v>100</v>
      </c>
      <c r="F98" s="179" t="s">
        <v>101</v>
      </c>
      <c r="G98" s="179" t="s">
        <v>116</v>
      </c>
      <c r="J98" s="18"/>
      <c r="K98" s="18"/>
      <c r="L98" s="18"/>
      <c r="M98" s="18"/>
    </row>
    <row r="99" spans="1:19" s="29" customFormat="1" x14ac:dyDescent="0.35">
      <c r="D99" s="74" t="str">
        <f>IF('Data Input'!$K$18='REF - Drop-down Menus'!$H$6,"",'Data Input'!$K$18)</f>
        <v/>
      </c>
      <c r="E99" s="74" t="str">
        <f>IF('Data Input'!$K$19='REF - Drop-down Menus'!$H$6,"",'Data Input'!$K$19)</f>
        <v/>
      </c>
      <c r="F99" s="75">
        <f>IF(AND($D$99="YES",$E$99="YES"),3,0)</f>
        <v>0</v>
      </c>
      <c r="G99" s="75">
        <f>IF($D$99="NO",-12,0)</f>
        <v>0</v>
      </c>
      <c r="J99" s="18"/>
      <c r="K99" s="18"/>
      <c r="L99" s="18"/>
      <c r="M99" s="18"/>
    </row>
    <row r="100" spans="1:19" s="29" customFormat="1" ht="6" customHeight="1" x14ac:dyDescent="0.35">
      <c r="B100" s="19"/>
      <c r="C100" s="19"/>
      <c r="D100" s="19"/>
      <c r="E100" s="157"/>
      <c r="F100" s="157"/>
      <c r="G100" s="157"/>
      <c r="J100" s="18"/>
      <c r="K100" s="18"/>
      <c r="L100" s="18"/>
      <c r="M100" s="18"/>
      <c r="Q100" s="171"/>
      <c r="R100" s="19"/>
      <c r="S100" s="19"/>
    </row>
    <row r="101" spans="1:19" s="29" customFormat="1" x14ac:dyDescent="0.35">
      <c r="B101" s="19"/>
      <c r="C101" s="19"/>
      <c r="D101" s="19"/>
      <c r="E101" s="19"/>
      <c r="F101" s="19"/>
      <c r="G101" s="19"/>
      <c r="H101" s="19"/>
      <c r="I101" s="19"/>
      <c r="Q101" s="19"/>
      <c r="R101" s="19"/>
      <c r="S101" s="19"/>
    </row>
    <row r="102" spans="1:19" s="29" customFormat="1" ht="23.5" x14ac:dyDescent="0.55000000000000004">
      <c r="A102" s="155"/>
      <c r="B102" s="156" t="s">
        <v>139</v>
      </c>
      <c r="C102" s="156"/>
      <c r="D102" s="156"/>
      <c r="E102" s="156"/>
      <c r="F102" s="156"/>
      <c r="G102" s="156"/>
      <c r="H102" s="156"/>
      <c r="I102" s="156"/>
      <c r="J102" s="156"/>
      <c r="K102" s="156"/>
      <c r="L102" s="156"/>
      <c r="M102" s="156"/>
      <c r="N102" s="156"/>
      <c r="O102" s="156"/>
      <c r="P102" s="156"/>
      <c r="Q102" s="156"/>
      <c r="R102" s="156"/>
      <c r="S102" s="157"/>
    </row>
    <row r="103" spans="1:19" s="29" customFormat="1" x14ac:dyDescent="0.35">
      <c r="B103" s="19"/>
      <c r="Q103" s="19"/>
      <c r="R103" s="19"/>
      <c r="S103" s="19"/>
    </row>
    <row r="104" spans="1:19" s="29" customFormat="1" x14ac:dyDescent="0.35">
      <c r="B104" s="19"/>
      <c r="C104" s="189"/>
      <c r="D104" s="19"/>
      <c r="E104" s="19"/>
      <c r="F104" s="19"/>
      <c r="G104" s="19"/>
      <c r="H104" s="19"/>
      <c r="I104" s="190"/>
      <c r="Q104" s="19"/>
      <c r="R104" s="19"/>
      <c r="S104" s="19"/>
    </row>
    <row r="105" spans="1:19" s="29" customFormat="1" ht="15.5" x14ac:dyDescent="0.35">
      <c r="B105" s="19"/>
      <c r="D105" s="191" t="s">
        <v>106</v>
      </c>
      <c r="G105" s="76" t="str">
        <f>$G$39</f>
        <v>N/A</v>
      </c>
      <c r="H105" s="19" t="s">
        <v>48</v>
      </c>
      <c r="Q105" s="19"/>
      <c r="R105" s="19"/>
      <c r="S105" s="19"/>
    </row>
    <row r="106" spans="1:19" s="29" customFormat="1" ht="15.5" x14ac:dyDescent="0.35">
      <c r="B106" s="19"/>
      <c r="D106" s="191" t="s">
        <v>141</v>
      </c>
      <c r="G106" s="77">
        <f>M90</f>
        <v>8.9722222222222214</v>
      </c>
      <c r="H106" s="19"/>
      <c r="Q106" s="19"/>
      <c r="R106" s="19"/>
      <c r="S106" s="19"/>
    </row>
    <row r="107" spans="1:19" s="29" customFormat="1" ht="15" x14ac:dyDescent="0.35">
      <c r="B107" s="19"/>
      <c r="D107" s="190" t="s">
        <v>219</v>
      </c>
      <c r="E107" s="19"/>
      <c r="F107" s="19"/>
      <c r="G107" s="76" t="str">
        <f>IFERROR(G106*G105,"N/A")</f>
        <v>N/A</v>
      </c>
      <c r="H107" s="19" t="s">
        <v>48</v>
      </c>
      <c r="I107" s="190"/>
      <c r="Q107" s="19"/>
      <c r="R107" s="19"/>
      <c r="S107" s="19"/>
    </row>
    <row r="108" spans="1:19" s="29" customFormat="1" ht="15.5" x14ac:dyDescent="0.35">
      <c r="B108" s="19"/>
      <c r="D108" s="191" t="s">
        <v>127</v>
      </c>
      <c r="E108" s="18"/>
      <c r="F108" s="18"/>
      <c r="G108" s="78">
        <f>-G99</f>
        <v>0</v>
      </c>
      <c r="H108" s="19" t="s">
        <v>48</v>
      </c>
      <c r="I108" s="19"/>
      <c r="Q108" s="19"/>
      <c r="R108" s="19"/>
      <c r="S108" s="19"/>
    </row>
    <row r="109" spans="1:19" s="29" customFormat="1" ht="15.5" x14ac:dyDescent="0.35">
      <c r="B109" s="19"/>
      <c r="D109" s="191" t="s">
        <v>107</v>
      </c>
      <c r="E109" s="18"/>
      <c r="F109" s="18"/>
      <c r="G109" s="78">
        <f>-F99</f>
        <v>0</v>
      </c>
      <c r="H109" s="19" t="s">
        <v>48</v>
      </c>
      <c r="I109" s="19"/>
      <c r="Q109" s="19"/>
      <c r="R109" s="19"/>
      <c r="S109" s="19"/>
    </row>
    <row r="110" spans="1:19" s="29" customFormat="1" x14ac:dyDescent="0.35">
      <c r="B110" s="19"/>
      <c r="D110" s="18"/>
      <c r="E110" s="18"/>
      <c r="F110" s="18"/>
      <c r="G110" s="192"/>
      <c r="H110" s="193"/>
      <c r="I110" s="18"/>
      <c r="Q110" s="19"/>
      <c r="R110" s="19"/>
      <c r="S110" s="19"/>
    </row>
    <row r="111" spans="1:19" s="29" customFormat="1" ht="21" x14ac:dyDescent="0.5">
      <c r="B111" s="19"/>
      <c r="D111" s="194" t="s">
        <v>218</v>
      </c>
      <c r="E111" s="18"/>
      <c r="F111" s="18"/>
      <c r="G111" s="79" t="str">
        <f>IF($G$107="N/A","N/A",SUM(G107:G109))</f>
        <v>N/A</v>
      </c>
      <c r="H111" s="19" t="s">
        <v>48</v>
      </c>
      <c r="I111" s="190"/>
      <c r="N111" s="195"/>
      <c r="Q111" s="19"/>
      <c r="R111" s="19"/>
      <c r="S111" s="19"/>
    </row>
    <row r="112" spans="1:19" s="29" customFormat="1" x14ac:dyDescent="0.35">
      <c r="B112" s="19"/>
      <c r="H112" s="18"/>
      <c r="I112" s="18"/>
      <c r="J112" s="18"/>
      <c r="K112" s="18"/>
      <c r="N112" s="195"/>
      <c r="Q112" s="19"/>
      <c r="R112" s="19"/>
      <c r="S112" s="19"/>
    </row>
  </sheetData>
  <sheetProtection algorithmName="SHA-512" hashValue="Latjxfpau7W9xCxMrtUk9UhRbLLN4eBuMPkG4WbrSw+07rgoAylKbX9uzQSSK4Ea7ZzF3fr467viDjMJMoTYNw==" saltValue="HFFfihiQ0b7vYZqirGBsdw==" spinCount="100000" sheet="1" objects="1" scenarios="1"/>
  <mergeCells count="53">
    <mergeCell ref="D21:E21"/>
    <mergeCell ref="G21:G22"/>
    <mergeCell ref="H21:H22"/>
    <mergeCell ref="N73:N74"/>
    <mergeCell ref="G64:G65"/>
    <mergeCell ref="H64:H65"/>
    <mergeCell ref="I64:I65"/>
    <mergeCell ref="C55:E55"/>
    <mergeCell ref="C56:E56"/>
    <mergeCell ref="C57:E57"/>
    <mergeCell ref="C59:E59"/>
    <mergeCell ref="C60:E60"/>
    <mergeCell ref="M64:M65"/>
    <mergeCell ref="F64:F65"/>
    <mergeCell ref="D64:E65"/>
    <mergeCell ref="D66:E67"/>
    <mergeCell ref="D68:E69"/>
    <mergeCell ref="G66:G69"/>
    <mergeCell ref="I21:I22"/>
    <mergeCell ref="F21:F22"/>
    <mergeCell ref="G87:H87"/>
    <mergeCell ref="G82:H83"/>
    <mergeCell ref="G84:H84"/>
    <mergeCell ref="G86:H86"/>
    <mergeCell ref="I82:K82"/>
    <mergeCell ref="F53:J53"/>
    <mergeCell ref="K53:O53"/>
    <mergeCell ref="C58:E58"/>
    <mergeCell ref="J64:J65"/>
    <mergeCell ref="L64:L65"/>
    <mergeCell ref="H27:H28"/>
    <mergeCell ref="F27:F28"/>
    <mergeCell ref="L73:M73"/>
    <mergeCell ref="H75:H76"/>
    <mergeCell ref="L75:L76"/>
    <mergeCell ref="M75:M76"/>
    <mergeCell ref="I73:J73"/>
    <mergeCell ref="M82:M83"/>
    <mergeCell ref="K27:K28"/>
    <mergeCell ref="K73:K74"/>
    <mergeCell ref="F66:F69"/>
    <mergeCell ref="D75:E75"/>
    <mergeCell ref="D76:E76"/>
    <mergeCell ref="D73:E74"/>
    <mergeCell ref="G73:H73"/>
    <mergeCell ref="G75:G76"/>
    <mergeCell ref="F73:F74"/>
    <mergeCell ref="C53:E54"/>
    <mergeCell ref="C27:E27"/>
    <mergeCell ref="G27:G28"/>
    <mergeCell ref="K64:K65"/>
    <mergeCell ref="I27:I28"/>
    <mergeCell ref="J27:J28"/>
  </mergeCells>
  <pageMargins left="0.70866141732283472" right="0.70866141732283472" top="0.74803149606299213" bottom="0.74803149606299213" header="0.31496062992125984" footer="0.31496062992125984"/>
  <pageSetup scale="30" orientation="landscape" r:id="rId1"/>
  <ignoredErrors>
    <ignoredError sqref="J60" formula="1"/>
    <ignoredError sqref="K8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4EE7F-BF08-4617-9766-C1A3454E1617}">
  <sheetPr>
    <tabColor rgb="FF7030A0"/>
  </sheetPr>
  <dimension ref="B1:N24"/>
  <sheetViews>
    <sheetView showGridLines="0" workbookViewId="0"/>
  </sheetViews>
  <sheetFormatPr defaultColWidth="9.1796875" defaultRowHeight="14.5" x14ac:dyDescent="0.35"/>
  <cols>
    <col min="1" max="1" width="9.1796875" style="18"/>
    <col min="2" max="2" width="22.1796875" style="18" customWidth="1"/>
    <col min="3" max="3" width="10.54296875" style="18" customWidth="1"/>
    <col min="4" max="16384" width="9.1796875" style="18"/>
  </cols>
  <sheetData>
    <row r="1" spans="2:14" ht="46" x14ac:dyDescent="0.35">
      <c r="B1" s="144" t="s">
        <v>217</v>
      </c>
    </row>
    <row r="2" spans="2:14" ht="33.5" x14ac:dyDescent="0.75">
      <c r="B2" s="147" t="s">
        <v>109</v>
      </c>
    </row>
    <row r="3" spans="2:14" ht="14.5" customHeight="1" x14ac:dyDescent="0.75">
      <c r="B3" s="147"/>
    </row>
    <row r="4" spans="2:14" ht="21" x14ac:dyDescent="0.5">
      <c r="B4" s="196" t="s">
        <v>84</v>
      </c>
      <c r="I4" s="196" t="s">
        <v>207</v>
      </c>
    </row>
    <row r="5" spans="2:14" ht="6" customHeight="1" x14ac:dyDescent="0.35">
      <c r="B5" s="149"/>
    </row>
    <row r="6" spans="2:14" x14ac:dyDescent="0.35">
      <c r="B6" s="277" t="s">
        <v>3</v>
      </c>
      <c r="C6" s="279" t="s">
        <v>55</v>
      </c>
      <c r="D6" s="280"/>
      <c r="E6" s="280"/>
      <c r="F6" s="280"/>
      <c r="G6" s="280"/>
      <c r="H6" s="281"/>
      <c r="I6" s="279" t="s">
        <v>208</v>
      </c>
      <c r="J6" s="280"/>
      <c r="K6" s="280"/>
      <c r="L6" s="280"/>
      <c r="M6" s="280"/>
      <c r="N6" s="281"/>
    </row>
    <row r="7" spans="2:14" ht="17.25" customHeight="1" x14ac:dyDescent="0.35">
      <c r="B7" s="278"/>
      <c r="C7" s="80">
        <v>2015</v>
      </c>
      <c r="D7" s="80">
        <v>2016</v>
      </c>
      <c r="E7" s="80">
        <v>2017</v>
      </c>
      <c r="F7" s="80">
        <v>2018</v>
      </c>
      <c r="G7" s="80">
        <v>2019</v>
      </c>
      <c r="H7" s="80">
        <v>2020</v>
      </c>
      <c r="I7" s="80">
        <v>2015</v>
      </c>
      <c r="J7" s="80">
        <v>2016</v>
      </c>
      <c r="K7" s="80">
        <v>2017</v>
      </c>
      <c r="L7" s="80">
        <v>2018</v>
      </c>
      <c r="M7" s="80">
        <v>2019</v>
      </c>
      <c r="N7" s="80">
        <v>2020</v>
      </c>
    </row>
    <row r="8" spans="2:14" x14ac:dyDescent="0.35">
      <c r="B8" s="197" t="s">
        <v>36</v>
      </c>
      <c r="C8" s="198">
        <v>754.092083</v>
      </c>
      <c r="D8" s="198">
        <v>619.25916600000005</v>
      </c>
      <c r="E8" s="198">
        <v>705.44166600000005</v>
      </c>
      <c r="F8" s="198">
        <v>626.37083299999995</v>
      </c>
      <c r="G8" s="198">
        <v>610.72291600000005</v>
      </c>
      <c r="H8" s="198">
        <v>572.29999999999995</v>
      </c>
      <c r="I8" s="198">
        <v>2623.92625</v>
      </c>
      <c r="J8" s="198">
        <v>2641.9970830000002</v>
      </c>
      <c r="K8" s="198">
        <v>3217.7408329999998</v>
      </c>
      <c r="L8" s="198">
        <v>2917.7020830000001</v>
      </c>
      <c r="M8" s="198">
        <v>3116.9666659999998</v>
      </c>
      <c r="N8" s="198">
        <v>2917.5916659999998</v>
      </c>
    </row>
    <row r="9" spans="2:14" x14ac:dyDescent="0.35">
      <c r="B9" s="197" t="s">
        <v>27</v>
      </c>
      <c r="C9" s="198">
        <v>377.092916</v>
      </c>
      <c r="D9" s="198">
        <v>334.37625000000003</v>
      </c>
      <c r="E9" s="198">
        <v>335.5025</v>
      </c>
      <c r="F9" s="198">
        <v>309.691666</v>
      </c>
      <c r="G9" s="198">
        <v>287.74166600000001</v>
      </c>
      <c r="H9" s="198">
        <v>287.63333299999999</v>
      </c>
      <c r="I9" s="198">
        <v>1729.8679159999999</v>
      </c>
      <c r="J9" s="198">
        <v>1732.642083</v>
      </c>
      <c r="K9" s="198">
        <v>2125.4733329999999</v>
      </c>
      <c r="L9" s="198">
        <v>1890.172916</v>
      </c>
      <c r="M9" s="198">
        <v>2027.6354160000001</v>
      </c>
      <c r="N9" s="198">
        <v>1970.708333</v>
      </c>
    </row>
    <row r="10" spans="2:14" x14ac:dyDescent="0.35">
      <c r="B10" s="197" t="s">
        <v>30</v>
      </c>
      <c r="C10" s="198">
        <v>398.91250000000002</v>
      </c>
      <c r="D10" s="198">
        <v>393.89166599999999</v>
      </c>
      <c r="E10" s="198">
        <v>381.933333</v>
      </c>
      <c r="F10" s="198">
        <v>451.63875000000002</v>
      </c>
      <c r="G10" s="198">
        <v>375.59375</v>
      </c>
      <c r="H10" s="198">
        <v>386.625</v>
      </c>
      <c r="I10" s="198">
        <v>3194.45</v>
      </c>
      <c r="J10" s="198">
        <v>2769.0770830000001</v>
      </c>
      <c r="K10" s="198">
        <v>2882.07</v>
      </c>
      <c r="L10" s="198">
        <v>3042.415833</v>
      </c>
      <c r="M10" s="198">
        <v>3177.9166660000001</v>
      </c>
      <c r="N10" s="198">
        <v>2839.4383330000001</v>
      </c>
    </row>
    <row r="11" spans="2:14" x14ac:dyDescent="0.35">
      <c r="B11" s="199" t="s">
        <v>62</v>
      </c>
      <c r="C11" s="198">
        <v>403.128333</v>
      </c>
      <c r="D11" s="198">
        <v>420.45833299999998</v>
      </c>
      <c r="E11" s="198">
        <v>420.97750000000002</v>
      </c>
      <c r="F11" s="198">
        <v>485.1875</v>
      </c>
      <c r="G11" s="198">
        <v>367.98750000000001</v>
      </c>
      <c r="H11" s="198">
        <v>493.17083300000002</v>
      </c>
      <c r="I11" s="198">
        <v>3710.664166</v>
      </c>
      <c r="J11" s="198">
        <v>3415.7562499999999</v>
      </c>
      <c r="K11" s="198">
        <v>3428.1404160000002</v>
      </c>
      <c r="L11" s="198">
        <v>3673.349166</v>
      </c>
      <c r="M11" s="198">
        <v>3706.0416660000001</v>
      </c>
      <c r="N11" s="198">
        <v>3368.270833</v>
      </c>
    </row>
    <row r="12" spans="2:14" x14ac:dyDescent="0.35">
      <c r="B12" s="197" t="s">
        <v>32</v>
      </c>
      <c r="C12" s="198">
        <v>536.06333299999994</v>
      </c>
      <c r="D12" s="198">
        <v>518.45833300000004</v>
      </c>
      <c r="E12" s="198">
        <v>530.21249999999998</v>
      </c>
      <c r="F12" s="198">
        <v>588.85833300000002</v>
      </c>
      <c r="G12" s="198">
        <v>435.15833300000003</v>
      </c>
      <c r="H12" s="198">
        <v>581.15</v>
      </c>
      <c r="I12" s="198">
        <v>3839.0758329999999</v>
      </c>
      <c r="J12" s="198">
        <v>3541.1166659999999</v>
      </c>
      <c r="K12" s="198">
        <v>3647.4708329999999</v>
      </c>
      <c r="L12" s="198">
        <v>3792.2512499999998</v>
      </c>
      <c r="M12" s="198">
        <v>3874.1666660000001</v>
      </c>
      <c r="N12" s="198">
        <v>3525.7291660000001</v>
      </c>
    </row>
    <row r="13" spans="2:14" x14ac:dyDescent="0.35">
      <c r="B13" s="197" t="s">
        <v>63</v>
      </c>
      <c r="C13" s="198">
        <v>150.94583299999999</v>
      </c>
      <c r="D13" s="198">
        <v>217.777916</v>
      </c>
      <c r="E13" s="198">
        <v>196.80416600000001</v>
      </c>
      <c r="F13" s="198">
        <v>248.42916600000001</v>
      </c>
      <c r="G13" s="198">
        <v>142.86666600000001</v>
      </c>
      <c r="H13" s="198">
        <v>242.73750000000001</v>
      </c>
      <c r="I13" s="198">
        <v>3970.2887500000002</v>
      </c>
      <c r="J13" s="198">
        <v>3686.269166</v>
      </c>
      <c r="K13" s="198">
        <v>3766.2804160000001</v>
      </c>
      <c r="L13" s="198">
        <v>3805.9604159999999</v>
      </c>
      <c r="M13" s="198">
        <v>3938.052083</v>
      </c>
      <c r="N13" s="198">
        <v>3613.641666</v>
      </c>
    </row>
    <row r="14" spans="2:14" x14ac:dyDescent="0.35">
      <c r="B14" s="197" t="s">
        <v>1</v>
      </c>
      <c r="C14" s="198">
        <v>412.32916599999999</v>
      </c>
      <c r="D14" s="198">
        <v>328.11458299999998</v>
      </c>
      <c r="E14" s="198">
        <v>454.70541600000001</v>
      </c>
      <c r="F14" s="198">
        <v>417.82749999999999</v>
      </c>
      <c r="G14" s="198">
        <v>263.54166600000002</v>
      </c>
      <c r="H14" s="198">
        <v>346.94583299999999</v>
      </c>
      <c r="I14" s="198">
        <v>3563.5587500000001</v>
      </c>
      <c r="J14" s="198">
        <v>3494.2970829999999</v>
      </c>
      <c r="K14" s="198">
        <v>3998.5508329999998</v>
      </c>
      <c r="L14" s="198">
        <v>4246.6958329999998</v>
      </c>
      <c r="M14" s="198">
        <v>4310.4708330000003</v>
      </c>
      <c r="N14" s="198">
        <v>3956.9145830000002</v>
      </c>
    </row>
    <row r="15" spans="2:14" ht="14.5" customHeight="1" x14ac:dyDescent="0.35">
      <c r="B15" s="197" t="s">
        <v>28</v>
      </c>
      <c r="C15" s="198">
        <v>373.4</v>
      </c>
      <c r="D15" s="198">
        <v>334.53958299999999</v>
      </c>
      <c r="E15" s="198">
        <v>351.17083300000002</v>
      </c>
      <c r="F15" s="198">
        <v>360.41666600000002</v>
      </c>
      <c r="G15" s="198">
        <v>217.53749999999999</v>
      </c>
      <c r="H15" s="198">
        <v>273.00833299999999</v>
      </c>
      <c r="I15" s="198">
        <v>4393.2875000000004</v>
      </c>
      <c r="J15" s="198">
        <v>4179.0249999999996</v>
      </c>
      <c r="K15" s="198">
        <v>4714.4416659999997</v>
      </c>
      <c r="L15" s="198">
        <v>5010.9541660000004</v>
      </c>
      <c r="M15" s="198">
        <v>5019.4791660000001</v>
      </c>
      <c r="N15" s="198">
        <v>4906.1912499999999</v>
      </c>
    </row>
    <row r="16" spans="2:14" x14ac:dyDescent="0.35">
      <c r="B16" s="197" t="s">
        <v>31</v>
      </c>
      <c r="C16" s="200">
        <v>610.53</v>
      </c>
      <c r="D16" s="200">
        <v>552.26666599999999</v>
      </c>
      <c r="E16" s="200">
        <v>508.875</v>
      </c>
      <c r="F16" s="200">
        <v>659.34625000000005</v>
      </c>
      <c r="G16" s="200">
        <v>544.90833299999997</v>
      </c>
      <c r="H16" s="200">
        <v>206.39583300000001</v>
      </c>
      <c r="I16" s="200">
        <v>4385.2670829999997</v>
      </c>
      <c r="J16" s="200">
        <v>4203.6595829999997</v>
      </c>
      <c r="K16" s="200">
        <v>4543.165</v>
      </c>
      <c r="L16" s="200">
        <v>4976.6774999999998</v>
      </c>
      <c r="M16" s="200">
        <v>5115.1041660000001</v>
      </c>
      <c r="N16" s="200">
        <v>3718.516666</v>
      </c>
    </row>
    <row r="17" spans="2:14" x14ac:dyDescent="0.35">
      <c r="B17" s="197" t="s">
        <v>21</v>
      </c>
      <c r="C17" s="200">
        <v>773.63374999999996</v>
      </c>
      <c r="D17" s="200">
        <v>844.77125000000001</v>
      </c>
      <c r="E17" s="200">
        <v>698.03750000000002</v>
      </c>
      <c r="F17" s="200">
        <v>883.40416600000003</v>
      </c>
      <c r="G17" s="200">
        <v>684.11458300000004</v>
      </c>
      <c r="H17" s="200">
        <v>810.56666600000005</v>
      </c>
      <c r="I17" s="200">
        <v>3521.7837500000001</v>
      </c>
      <c r="J17" s="200">
        <v>3276.4733329999999</v>
      </c>
      <c r="K17" s="200">
        <v>3325.7916660000001</v>
      </c>
      <c r="L17" s="200">
        <v>3572.079166</v>
      </c>
      <c r="M17" s="200">
        <v>3647.2375000000002</v>
      </c>
      <c r="N17" s="200">
        <v>3191.3583330000001</v>
      </c>
    </row>
    <row r="18" spans="2:14" x14ac:dyDescent="0.35">
      <c r="B18" s="197" t="s">
        <v>22</v>
      </c>
      <c r="C18" s="198">
        <v>692.76958300000001</v>
      </c>
      <c r="D18" s="198">
        <v>789.10833300000002</v>
      </c>
      <c r="E18" s="198">
        <v>596.67083300000002</v>
      </c>
      <c r="F18" s="198">
        <v>787.86249999999995</v>
      </c>
      <c r="G18" s="198">
        <v>592.56666600000005</v>
      </c>
      <c r="H18" s="198">
        <v>712.9375</v>
      </c>
      <c r="I18" s="198">
        <v>3719.17</v>
      </c>
      <c r="J18" s="198">
        <v>3540.087916</v>
      </c>
      <c r="K18" s="198">
        <v>3585.829166</v>
      </c>
      <c r="L18" s="198">
        <v>3770.5250000000001</v>
      </c>
      <c r="M18" s="198">
        <v>3920.583333</v>
      </c>
      <c r="N18" s="198">
        <v>3445.0666660000002</v>
      </c>
    </row>
    <row r="19" spans="2:14" x14ac:dyDescent="0.35">
      <c r="B19" s="197" t="s">
        <v>29</v>
      </c>
      <c r="C19" s="198">
        <v>479.25749999999999</v>
      </c>
      <c r="D19" s="198">
        <v>476.80666600000001</v>
      </c>
      <c r="E19" s="198">
        <v>419.06708300000003</v>
      </c>
      <c r="F19" s="198">
        <v>550.92708300000004</v>
      </c>
      <c r="G19" s="198">
        <v>406.120833</v>
      </c>
      <c r="H19" s="198">
        <v>521.78750000000002</v>
      </c>
      <c r="I19" s="198">
        <v>4145.4166660000001</v>
      </c>
      <c r="J19" s="198">
        <v>3921.5258330000001</v>
      </c>
      <c r="K19" s="198">
        <v>4036.7012500000001</v>
      </c>
      <c r="L19" s="198">
        <v>4263.6770829999996</v>
      </c>
      <c r="M19" s="198">
        <v>4362.6208329999999</v>
      </c>
      <c r="N19" s="198">
        <v>3940.5916659999998</v>
      </c>
    </row>
    <row r="20" spans="2:14" x14ac:dyDescent="0.35">
      <c r="B20" s="197" t="s">
        <v>34</v>
      </c>
      <c r="C20" s="198">
        <v>519.29166599999996</v>
      </c>
      <c r="D20" s="198">
        <v>487.17500000000001</v>
      </c>
      <c r="E20" s="198">
        <v>561.8125</v>
      </c>
      <c r="F20" s="198">
        <v>557.55208300000004</v>
      </c>
      <c r="G20" s="198">
        <v>430.61666600000001</v>
      </c>
      <c r="H20" s="198">
        <v>159.0625</v>
      </c>
      <c r="I20" s="198">
        <v>4351.5775000000003</v>
      </c>
      <c r="J20" s="198">
        <v>4076.4641660000002</v>
      </c>
      <c r="K20" s="198">
        <v>4592.6045830000003</v>
      </c>
      <c r="L20" s="198">
        <v>5094.9562500000002</v>
      </c>
      <c r="M20" s="198">
        <v>5139.7841660000004</v>
      </c>
      <c r="N20" s="198">
        <v>3676.9729160000002</v>
      </c>
    </row>
    <row r="21" spans="2:14" ht="14.5" customHeight="1" x14ac:dyDescent="0.35">
      <c r="B21" s="197" t="s">
        <v>2</v>
      </c>
      <c r="C21" s="198">
        <v>783.64583300000004</v>
      </c>
      <c r="D21" s="198">
        <v>999.3</v>
      </c>
      <c r="E21" s="198">
        <v>760.46666600000003</v>
      </c>
      <c r="F21" s="198">
        <v>940.65416600000003</v>
      </c>
      <c r="G21" s="200">
        <v>721.12083299999995</v>
      </c>
      <c r="H21" s="200">
        <v>884.50416600000005</v>
      </c>
      <c r="I21" s="198">
        <v>3031.4570829999998</v>
      </c>
      <c r="J21" s="198">
        <v>2743.6920829999999</v>
      </c>
      <c r="K21" s="198">
        <v>2805.1374999999998</v>
      </c>
      <c r="L21" s="198">
        <v>3047.9291659999999</v>
      </c>
      <c r="M21" s="200">
        <v>3149.1624999999999</v>
      </c>
      <c r="N21" s="200">
        <v>2740.458333</v>
      </c>
    </row>
    <row r="22" spans="2:14" ht="14.5" customHeight="1" x14ac:dyDescent="0.35">
      <c r="B22" s="197" t="s">
        <v>0</v>
      </c>
      <c r="C22" s="198">
        <v>400.339583</v>
      </c>
      <c r="D22" s="198">
        <v>317.26625000000001</v>
      </c>
      <c r="E22" s="198">
        <v>361.76666599999999</v>
      </c>
      <c r="F22" s="198">
        <v>356.25208300000003</v>
      </c>
      <c r="G22" s="198">
        <v>359.49166600000001</v>
      </c>
      <c r="H22" s="198">
        <v>307.50833299999999</v>
      </c>
      <c r="I22" s="198">
        <v>1655.3595829999999</v>
      </c>
      <c r="J22" s="198">
        <v>1685.842083</v>
      </c>
      <c r="K22" s="198">
        <v>2095.6737499999999</v>
      </c>
      <c r="L22" s="198">
        <v>1866.391666</v>
      </c>
      <c r="M22" s="198">
        <v>1988.6166659999999</v>
      </c>
      <c r="N22" s="198">
        <v>1889.520833</v>
      </c>
    </row>
    <row r="23" spans="2:14" ht="23.25" customHeight="1" x14ac:dyDescent="0.35">
      <c r="B23" s="201"/>
      <c r="C23" s="202"/>
      <c r="D23" s="203"/>
      <c r="E23" s="203"/>
      <c r="F23" s="203"/>
      <c r="G23" s="203"/>
      <c r="H23" s="203"/>
    </row>
    <row r="24" spans="2:14" ht="21" x14ac:dyDescent="0.5">
      <c r="B24" s="196"/>
    </row>
  </sheetData>
  <sheetProtection algorithmName="SHA-512" hashValue="rlIGKyr7DFYSq9sSC175SRjCdhWMFuZ+25NYBxwRQx/DscLG7W7yFMWHUtBFdLM0qubhp4r3QrIkZGb3HouC5Q==" saltValue="Rwzdd80+TulBNbkFyXzO8A==" spinCount="100000" sheet="1" objects="1" scenarios="1"/>
  <mergeCells count="3">
    <mergeCell ref="B6:B7"/>
    <mergeCell ref="C6:H6"/>
    <mergeCell ref="I6:N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E824E-A313-4D86-935F-92BBECB78319}">
  <sheetPr>
    <tabColor rgb="FF7030A0"/>
  </sheetPr>
  <dimension ref="A1:H36"/>
  <sheetViews>
    <sheetView showGridLines="0" zoomScaleNormal="100" workbookViewId="0"/>
  </sheetViews>
  <sheetFormatPr defaultColWidth="9.1796875" defaultRowHeight="14.5" x14ac:dyDescent="0.35"/>
  <cols>
    <col min="1" max="1" width="17.81640625" style="18" bestFit="1" customWidth="1"/>
    <col min="2" max="2" width="28.453125" style="18" customWidth="1"/>
    <col min="3" max="5" width="9.1796875" style="18" customWidth="1"/>
    <col min="6" max="6" width="9.1796875" style="18"/>
    <col min="7" max="7" width="10.7265625" style="18" customWidth="1"/>
    <col min="8" max="8" width="10.1796875" style="18" customWidth="1"/>
    <col min="9" max="13" width="9.1796875" style="18"/>
    <col min="14" max="14" width="44.1796875" style="18" bestFit="1" customWidth="1"/>
    <col min="15" max="16384" width="9.1796875" style="18"/>
  </cols>
  <sheetData>
    <row r="1" spans="1:8" ht="46" x14ac:dyDescent="0.35">
      <c r="A1" s="144" t="s">
        <v>217</v>
      </c>
    </row>
    <row r="2" spans="1:8" ht="33.5" x14ac:dyDescent="0.75">
      <c r="A2" s="147" t="s">
        <v>108</v>
      </c>
    </row>
    <row r="3" spans="1:8" ht="14.5" customHeight="1" x14ac:dyDescent="0.75">
      <c r="A3" s="147"/>
    </row>
    <row r="4" spans="1:8" ht="21" x14ac:dyDescent="0.5">
      <c r="A4" s="196" t="s">
        <v>110</v>
      </c>
    </row>
    <row r="5" spans="1:8" ht="6" customHeight="1" x14ac:dyDescent="0.35">
      <c r="A5" s="149"/>
    </row>
    <row r="6" spans="1:8" ht="29.5" customHeight="1" x14ac:dyDescent="0.35">
      <c r="A6" s="204" t="s">
        <v>3</v>
      </c>
      <c r="B6" s="204" t="s">
        <v>49</v>
      </c>
      <c r="C6" s="205">
        <v>2015</v>
      </c>
      <c r="D6" s="205">
        <v>2016</v>
      </c>
      <c r="E6" s="205">
        <v>2017</v>
      </c>
      <c r="F6" s="205">
        <v>2018</v>
      </c>
      <c r="G6" s="205">
        <v>2019</v>
      </c>
      <c r="H6" s="205">
        <v>2020</v>
      </c>
    </row>
    <row r="7" spans="1:8" x14ac:dyDescent="0.35">
      <c r="A7" s="282" t="s">
        <v>36</v>
      </c>
      <c r="B7" s="197" t="s">
        <v>60</v>
      </c>
      <c r="C7" s="206">
        <v>764.8</v>
      </c>
      <c r="D7" s="206">
        <v>709</v>
      </c>
      <c r="E7" s="206">
        <v>761.1</v>
      </c>
      <c r="F7" s="206">
        <v>722.7</v>
      </c>
      <c r="G7" s="206">
        <v>698</v>
      </c>
      <c r="H7" s="206">
        <v>653.4</v>
      </c>
    </row>
    <row r="8" spans="1:8" x14ac:dyDescent="0.35">
      <c r="A8" s="283"/>
      <c r="B8" s="197" t="s">
        <v>61</v>
      </c>
      <c r="C8" s="206">
        <v>166.2</v>
      </c>
      <c r="D8" s="206">
        <v>33.9</v>
      </c>
      <c r="E8" s="206">
        <v>17.100000000000001</v>
      </c>
      <c r="F8" s="206">
        <v>23.3</v>
      </c>
      <c r="G8" s="206">
        <v>13.1</v>
      </c>
      <c r="H8" s="206">
        <v>35.6</v>
      </c>
    </row>
    <row r="9" spans="1:8" x14ac:dyDescent="0.35">
      <c r="A9" s="282" t="s">
        <v>27</v>
      </c>
      <c r="B9" s="197" t="s">
        <v>60</v>
      </c>
      <c r="C9" s="206">
        <v>627.99999999999989</v>
      </c>
      <c r="D9" s="206">
        <v>586.9</v>
      </c>
      <c r="E9" s="206">
        <v>579.20000000000005</v>
      </c>
      <c r="F9" s="206">
        <v>564.6</v>
      </c>
      <c r="G9" s="206">
        <v>542.6</v>
      </c>
      <c r="H9" s="206">
        <v>538.20000000000005</v>
      </c>
    </row>
    <row r="10" spans="1:8" x14ac:dyDescent="0.35">
      <c r="A10" s="283"/>
      <c r="B10" s="197" t="s">
        <v>61</v>
      </c>
      <c r="C10" s="206">
        <v>39.699999999999996</v>
      </c>
      <c r="D10" s="206">
        <v>11.3</v>
      </c>
      <c r="E10" s="206">
        <v>23.5</v>
      </c>
      <c r="F10" s="206">
        <v>13.8</v>
      </c>
      <c r="G10" s="206">
        <v>47.6</v>
      </c>
      <c r="H10" s="206">
        <v>48.900000000000006</v>
      </c>
    </row>
    <row r="11" spans="1:8" x14ac:dyDescent="0.35">
      <c r="A11" s="284" t="s">
        <v>30</v>
      </c>
      <c r="B11" s="207" t="s">
        <v>60</v>
      </c>
      <c r="C11" s="206">
        <v>526.4</v>
      </c>
      <c r="D11" s="206">
        <v>497.5</v>
      </c>
      <c r="E11" s="206">
        <v>490.4</v>
      </c>
      <c r="F11" s="206">
        <v>524.5</v>
      </c>
      <c r="G11" s="206">
        <v>487.6</v>
      </c>
      <c r="H11" s="206">
        <v>475</v>
      </c>
    </row>
    <row r="12" spans="1:8" x14ac:dyDescent="0.35">
      <c r="A12" s="285"/>
      <c r="B12" s="207" t="s">
        <v>61</v>
      </c>
      <c r="C12" s="208">
        <v>233.7</v>
      </c>
      <c r="D12" s="208">
        <v>150.6</v>
      </c>
      <c r="E12" s="208">
        <v>310.60000000000002</v>
      </c>
      <c r="F12" s="208">
        <v>222</v>
      </c>
      <c r="G12" s="208">
        <v>226.4</v>
      </c>
      <c r="H12" s="208">
        <v>231.8</v>
      </c>
    </row>
    <row r="13" spans="1:8" ht="15" customHeight="1" x14ac:dyDescent="0.35">
      <c r="A13" s="282" t="s">
        <v>62</v>
      </c>
      <c r="B13" s="197" t="s">
        <v>60</v>
      </c>
      <c r="C13" s="208">
        <v>493.9</v>
      </c>
      <c r="D13" s="208">
        <v>464.4</v>
      </c>
      <c r="E13" s="208">
        <v>493.3</v>
      </c>
      <c r="F13" s="208">
        <v>500.5</v>
      </c>
      <c r="G13" s="208">
        <v>468.5</v>
      </c>
      <c r="H13" s="208">
        <v>468.4</v>
      </c>
    </row>
    <row r="14" spans="1:8" x14ac:dyDescent="0.35">
      <c r="A14" s="283"/>
      <c r="B14" s="197" t="s">
        <v>61</v>
      </c>
      <c r="C14" s="208">
        <v>204.6</v>
      </c>
      <c r="D14" s="208">
        <v>144.4</v>
      </c>
      <c r="E14" s="208">
        <v>256.10000000000002</v>
      </c>
      <c r="F14" s="208">
        <v>208.7</v>
      </c>
      <c r="G14" s="208">
        <v>229.7</v>
      </c>
      <c r="H14" s="208">
        <v>90.9</v>
      </c>
    </row>
    <row r="15" spans="1:8" x14ac:dyDescent="0.35">
      <c r="A15" s="282" t="s">
        <v>32</v>
      </c>
      <c r="B15" s="197" t="s">
        <v>60</v>
      </c>
      <c r="C15" s="208">
        <v>594.79999999999995</v>
      </c>
      <c r="D15" s="208">
        <v>583.1</v>
      </c>
      <c r="E15" s="208">
        <v>603.20000000000005</v>
      </c>
      <c r="F15" s="208">
        <v>616.4</v>
      </c>
      <c r="G15" s="208">
        <v>578.1</v>
      </c>
      <c r="H15" s="208">
        <v>284.16000000000003</v>
      </c>
    </row>
    <row r="16" spans="1:8" x14ac:dyDescent="0.35">
      <c r="A16" s="283"/>
      <c r="B16" s="197" t="s">
        <v>61</v>
      </c>
      <c r="C16" s="208">
        <v>268.89999999999998</v>
      </c>
      <c r="D16" s="208">
        <v>154.30000000000001</v>
      </c>
      <c r="E16" s="208">
        <v>128.80000000000001</v>
      </c>
      <c r="F16" s="208">
        <v>113.4</v>
      </c>
      <c r="G16" s="208">
        <v>228.8</v>
      </c>
      <c r="H16" s="208">
        <v>27.65</v>
      </c>
    </row>
    <row r="17" spans="1:8" x14ac:dyDescent="0.35">
      <c r="A17" s="282" t="s">
        <v>63</v>
      </c>
      <c r="B17" s="197" t="s">
        <v>60</v>
      </c>
      <c r="C17" s="208">
        <v>431.10000000000008</v>
      </c>
      <c r="D17" s="208">
        <v>421.8</v>
      </c>
      <c r="E17" s="208">
        <v>431.90000000000003</v>
      </c>
      <c r="F17" s="208">
        <v>428.6</v>
      </c>
      <c r="G17" s="208">
        <v>383.19999999999993</v>
      </c>
      <c r="H17" s="208">
        <v>403.5</v>
      </c>
    </row>
    <row r="18" spans="1:8" x14ac:dyDescent="0.35">
      <c r="A18" s="283"/>
      <c r="B18" s="197" t="s">
        <v>61</v>
      </c>
      <c r="C18" s="208">
        <v>236.89999999999998</v>
      </c>
      <c r="D18" s="208">
        <v>234.3</v>
      </c>
      <c r="E18" s="208">
        <v>311.8</v>
      </c>
      <c r="F18" s="208">
        <v>260.60000000000002</v>
      </c>
      <c r="G18" s="208">
        <v>210.60000000000002</v>
      </c>
      <c r="H18" s="208">
        <v>339.7</v>
      </c>
    </row>
    <row r="19" spans="1:8" x14ac:dyDescent="0.35">
      <c r="A19" s="282" t="s">
        <v>1</v>
      </c>
      <c r="B19" s="197" t="s">
        <v>60</v>
      </c>
      <c r="C19" s="208">
        <v>608.50000000000011</v>
      </c>
      <c r="D19" s="208">
        <v>577.90000000000009</v>
      </c>
      <c r="E19" s="208">
        <v>643.70000000000005</v>
      </c>
      <c r="F19" s="208">
        <v>596.1</v>
      </c>
      <c r="G19" s="208">
        <v>551</v>
      </c>
      <c r="H19" s="208">
        <v>538.9</v>
      </c>
    </row>
    <row r="20" spans="1:8" x14ac:dyDescent="0.35">
      <c r="A20" s="283"/>
      <c r="B20" s="197" t="s">
        <v>61</v>
      </c>
      <c r="C20" s="208">
        <v>136.1</v>
      </c>
      <c r="D20" s="208">
        <v>156.60000000000002</v>
      </c>
      <c r="E20" s="208">
        <v>78.599999999999994</v>
      </c>
      <c r="F20" s="208">
        <v>56.7</v>
      </c>
      <c r="G20" s="208">
        <v>132.70000000000002</v>
      </c>
      <c r="H20" s="208">
        <v>178.6</v>
      </c>
    </row>
    <row r="21" spans="1:8" ht="14.5" customHeight="1" x14ac:dyDescent="0.35">
      <c r="A21" s="282" t="s">
        <v>28</v>
      </c>
      <c r="B21" s="197" t="s">
        <v>60</v>
      </c>
      <c r="C21" s="208">
        <v>632</v>
      </c>
      <c r="D21" s="208">
        <v>606.79999999999995</v>
      </c>
      <c r="E21" s="208">
        <v>631.4</v>
      </c>
      <c r="F21" s="208">
        <v>614.29999999999995</v>
      </c>
      <c r="G21" s="208">
        <v>560.6</v>
      </c>
      <c r="H21" s="208">
        <v>543.4</v>
      </c>
    </row>
    <row r="22" spans="1:8" x14ac:dyDescent="0.35">
      <c r="A22" s="283"/>
      <c r="B22" s="197" t="s">
        <v>61</v>
      </c>
      <c r="C22" s="208">
        <v>88.7</v>
      </c>
      <c r="D22" s="208">
        <v>164</v>
      </c>
      <c r="E22" s="208">
        <v>121.4</v>
      </c>
      <c r="F22" s="208">
        <v>100.3</v>
      </c>
      <c r="G22" s="208">
        <v>94.2</v>
      </c>
      <c r="H22" s="208">
        <v>124.8</v>
      </c>
    </row>
    <row r="23" spans="1:8" x14ac:dyDescent="0.35">
      <c r="A23" s="282" t="s">
        <v>31</v>
      </c>
      <c r="B23" s="197" t="s">
        <v>60</v>
      </c>
      <c r="C23" s="208">
        <v>608.90000000000009</v>
      </c>
      <c r="D23" s="208">
        <v>590.79999999999995</v>
      </c>
      <c r="E23" s="208">
        <v>581.5</v>
      </c>
      <c r="F23" s="208">
        <v>630.6</v>
      </c>
      <c r="G23" s="208">
        <v>598.30000000000007</v>
      </c>
      <c r="H23" s="208">
        <v>567.79999999999995</v>
      </c>
    </row>
    <row r="24" spans="1:8" x14ac:dyDescent="0.35">
      <c r="A24" s="283"/>
      <c r="B24" s="197" t="s">
        <v>61</v>
      </c>
      <c r="C24" s="208">
        <v>231.1</v>
      </c>
      <c r="D24" s="208">
        <v>136.9</v>
      </c>
      <c r="E24" s="208">
        <v>82.600000000000009</v>
      </c>
      <c r="F24" s="208">
        <v>125.7</v>
      </c>
      <c r="G24" s="208">
        <v>170</v>
      </c>
      <c r="H24" s="208">
        <v>73.2</v>
      </c>
    </row>
    <row r="25" spans="1:8" x14ac:dyDescent="0.35">
      <c r="A25" s="282" t="s">
        <v>21</v>
      </c>
      <c r="B25" s="197" t="s">
        <v>60</v>
      </c>
      <c r="C25" s="206">
        <v>559.9</v>
      </c>
      <c r="D25" s="206">
        <v>551.6</v>
      </c>
      <c r="E25" s="206">
        <v>540.1</v>
      </c>
      <c r="F25" s="206">
        <v>591.29999999999995</v>
      </c>
      <c r="G25" s="206">
        <v>554.1</v>
      </c>
      <c r="H25" s="206">
        <v>545.29999999999995</v>
      </c>
    </row>
    <row r="26" spans="1:8" x14ac:dyDescent="0.35">
      <c r="A26" s="283"/>
      <c r="B26" s="197" t="s">
        <v>61</v>
      </c>
      <c r="C26" s="206">
        <v>310.8</v>
      </c>
      <c r="D26" s="206">
        <v>205.7</v>
      </c>
      <c r="E26" s="206">
        <v>136.5</v>
      </c>
      <c r="F26" s="206">
        <v>193.3</v>
      </c>
      <c r="G26" s="206">
        <v>217.3</v>
      </c>
      <c r="H26" s="206">
        <v>227.8</v>
      </c>
    </row>
    <row r="27" spans="1:8" x14ac:dyDescent="0.35">
      <c r="A27" s="282" t="s">
        <v>22</v>
      </c>
      <c r="B27" s="197" t="s">
        <v>60</v>
      </c>
      <c r="C27" s="208">
        <v>627.6</v>
      </c>
      <c r="D27" s="208">
        <v>648.6</v>
      </c>
      <c r="E27" s="208">
        <v>571.20000000000005</v>
      </c>
      <c r="F27" s="208">
        <v>635.29999999999995</v>
      </c>
      <c r="G27" s="208">
        <v>607.1</v>
      </c>
      <c r="H27" s="208">
        <v>571.5</v>
      </c>
    </row>
    <row r="28" spans="1:8" x14ac:dyDescent="0.35">
      <c r="A28" s="283"/>
      <c r="B28" s="197" t="s">
        <v>61</v>
      </c>
      <c r="C28" s="208">
        <v>157.19999999999999</v>
      </c>
      <c r="D28" s="208">
        <v>123.3</v>
      </c>
      <c r="E28" s="208">
        <v>344.1</v>
      </c>
      <c r="F28" s="208">
        <v>208.1</v>
      </c>
      <c r="G28" s="208">
        <v>108.7</v>
      </c>
      <c r="H28" s="208">
        <v>149.80000000000001</v>
      </c>
    </row>
    <row r="29" spans="1:8" x14ac:dyDescent="0.35">
      <c r="A29" s="282" t="s">
        <v>29</v>
      </c>
      <c r="B29" s="197" t="s">
        <v>60</v>
      </c>
      <c r="C29" s="206">
        <v>559.9</v>
      </c>
      <c r="D29" s="206">
        <v>551.6</v>
      </c>
      <c r="E29" s="206">
        <v>540.1</v>
      </c>
      <c r="F29" s="206">
        <v>591.29999999999995</v>
      </c>
      <c r="G29" s="206">
        <v>554.1</v>
      </c>
      <c r="H29" s="206">
        <v>545.29999999999995</v>
      </c>
    </row>
    <row r="30" spans="1:8" x14ac:dyDescent="0.35">
      <c r="A30" s="283"/>
      <c r="B30" s="197" t="s">
        <v>61</v>
      </c>
      <c r="C30" s="206">
        <v>310.8</v>
      </c>
      <c r="D30" s="206">
        <v>205.7</v>
      </c>
      <c r="E30" s="206">
        <v>136.5</v>
      </c>
      <c r="F30" s="206">
        <v>193.3</v>
      </c>
      <c r="G30" s="206">
        <v>217.3</v>
      </c>
      <c r="H30" s="206">
        <v>227.8</v>
      </c>
    </row>
    <row r="31" spans="1:8" x14ac:dyDescent="0.35">
      <c r="A31" s="282" t="s">
        <v>34</v>
      </c>
      <c r="B31" s="197" t="s">
        <v>60</v>
      </c>
      <c r="C31" s="206">
        <v>648.6</v>
      </c>
      <c r="D31" s="206">
        <v>636.70000000000005</v>
      </c>
      <c r="E31" s="206">
        <v>666.8</v>
      </c>
      <c r="F31" s="206">
        <v>687.6</v>
      </c>
      <c r="G31" s="206">
        <v>635.5</v>
      </c>
      <c r="H31" s="206">
        <v>622.1</v>
      </c>
    </row>
    <row r="32" spans="1:8" x14ac:dyDescent="0.35">
      <c r="A32" s="283"/>
      <c r="B32" s="197" t="s">
        <v>61</v>
      </c>
      <c r="C32" s="206">
        <v>129.6</v>
      </c>
      <c r="D32" s="206">
        <v>87.8</v>
      </c>
      <c r="E32" s="206">
        <v>49.4</v>
      </c>
      <c r="F32" s="206">
        <v>62.2</v>
      </c>
      <c r="G32" s="206">
        <v>124.8</v>
      </c>
      <c r="H32" s="206">
        <v>8</v>
      </c>
    </row>
    <row r="33" spans="1:8" x14ac:dyDescent="0.35">
      <c r="A33" s="282" t="s">
        <v>2</v>
      </c>
      <c r="B33" s="197" t="s">
        <v>60</v>
      </c>
      <c r="C33" s="206">
        <v>591.20000000000005</v>
      </c>
      <c r="D33" s="206">
        <v>645.4</v>
      </c>
      <c r="E33" s="206">
        <v>564</v>
      </c>
      <c r="F33" s="206">
        <v>595</v>
      </c>
      <c r="G33" s="206">
        <v>567.6</v>
      </c>
      <c r="H33" s="206">
        <v>576</v>
      </c>
    </row>
    <row r="34" spans="1:8" x14ac:dyDescent="0.35">
      <c r="A34" s="283"/>
      <c r="B34" s="197" t="s">
        <v>61</v>
      </c>
      <c r="C34" s="206">
        <v>158.1</v>
      </c>
      <c r="D34" s="206">
        <v>73.2</v>
      </c>
      <c r="E34" s="206">
        <v>148.9</v>
      </c>
      <c r="F34" s="206">
        <v>196.9</v>
      </c>
      <c r="G34" s="206">
        <v>151.6</v>
      </c>
      <c r="H34" s="206">
        <v>91.2</v>
      </c>
    </row>
    <row r="35" spans="1:8" ht="14.5" customHeight="1" x14ac:dyDescent="0.35">
      <c r="A35" s="282" t="s">
        <v>0</v>
      </c>
      <c r="B35" s="197" t="s">
        <v>60</v>
      </c>
      <c r="C35" s="206">
        <v>507.2</v>
      </c>
      <c r="D35" s="206">
        <v>484.5</v>
      </c>
      <c r="E35" s="206">
        <v>509</v>
      </c>
      <c r="F35" s="206">
        <v>509.1</v>
      </c>
      <c r="G35" s="206">
        <v>512.20000000000005</v>
      </c>
      <c r="H35" s="206">
        <v>455.09999999999997</v>
      </c>
    </row>
    <row r="36" spans="1:8" x14ac:dyDescent="0.35">
      <c r="A36" s="283"/>
      <c r="B36" s="197" t="s">
        <v>61</v>
      </c>
      <c r="C36" s="206">
        <v>46.199999999999996</v>
      </c>
      <c r="D36" s="206">
        <v>87.7</v>
      </c>
      <c r="E36" s="206">
        <v>71.5</v>
      </c>
      <c r="F36" s="206">
        <v>62.5</v>
      </c>
      <c r="G36" s="206">
        <v>82.8</v>
      </c>
      <c r="H36" s="206">
        <v>59</v>
      </c>
    </row>
  </sheetData>
  <sheetProtection algorithmName="SHA-512" hashValue="OlI/ugx94icxxxG3qYlkeTlfTr3ZQLWdFm+9nMyVJlpQuHkIY1s/VMj3nMQnHh7FuiSg5ZCSlHC1PvdsyaUYfA==" saltValue="1jCeraNCfXQq11uR6HU9Og==" spinCount="100000" sheet="1" objects="1" scenarios="1"/>
  <sortState xmlns:xlrd2="http://schemas.microsoft.com/office/spreadsheetml/2017/richdata2" ref="N8:R39">
    <sortCondition ref="N8:N39"/>
    <sortCondition ref="P8:P39"/>
  </sortState>
  <mergeCells count="15">
    <mergeCell ref="A15:A16"/>
    <mergeCell ref="A7:A8"/>
    <mergeCell ref="A9:A10"/>
    <mergeCell ref="A11:A12"/>
    <mergeCell ref="A13:A14"/>
    <mergeCell ref="A31:A32"/>
    <mergeCell ref="A33:A34"/>
    <mergeCell ref="A35:A36"/>
    <mergeCell ref="A17:A18"/>
    <mergeCell ref="A19:A20"/>
    <mergeCell ref="A21:A22"/>
    <mergeCell ref="A23:A24"/>
    <mergeCell ref="A27:A28"/>
    <mergeCell ref="A29:A30"/>
    <mergeCell ref="A25:A2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FA0A7-FDDB-48EC-A649-B88AABA80298}">
  <sheetPr>
    <tabColor rgb="FF7030A0"/>
  </sheetPr>
  <dimension ref="A1:K24"/>
  <sheetViews>
    <sheetView workbookViewId="0">
      <selection activeCell="J29" sqref="J29"/>
    </sheetView>
  </sheetViews>
  <sheetFormatPr defaultRowHeight="14.5" x14ac:dyDescent="0.35"/>
  <cols>
    <col min="1" max="1" width="12.81640625" customWidth="1"/>
    <col min="2" max="2" width="3.1796875" customWidth="1"/>
    <col min="3" max="3" width="16.81640625" customWidth="1"/>
    <col min="4" max="4" width="3.1796875" customWidth="1"/>
    <col min="5" max="5" width="12" bestFit="1" customWidth="1"/>
    <col min="6" max="6" width="14.7265625" bestFit="1" customWidth="1"/>
    <col min="7" max="7" width="3.1796875" customWidth="1"/>
    <col min="8" max="8" width="15" customWidth="1"/>
    <col min="9" max="9" width="3.1796875" customWidth="1"/>
    <col min="10" max="10" width="26.453125" customWidth="1"/>
    <col min="11" max="11" width="3.1796875" customWidth="1"/>
  </cols>
  <sheetData>
    <row r="1" spans="1:11" ht="46" x14ac:dyDescent="0.35">
      <c r="A1" s="10" t="s">
        <v>142</v>
      </c>
    </row>
    <row r="3" spans="1:11" ht="15.5" x14ac:dyDescent="0.35">
      <c r="A3" s="11" t="s">
        <v>111</v>
      </c>
      <c r="C3" s="11" t="s">
        <v>112</v>
      </c>
      <c r="D3" s="3"/>
      <c r="E3" s="286" t="s">
        <v>113</v>
      </c>
      <c r="F3" s="286"/>
      <c r="G3" s="3"/>
      <c r="H3" s="11" t="s">
        <v>67</v>
      </c>
      <c r="J3" s="11" t="s">
        <v>68</v>
      </c>
    </row>
    <row r="4" spans="1:11" x14ac:dyDescent="0.35">
      <c r="A4" s="4"/>
      <c r="B4" s="3"/>
      <c r="C4" s="4"/>
      <c r="D4" s="3"/>
      <c r="E4" s="12" t="s">
        <v>114</v>
      </c>
      <c r="F4" s="12" t="s">
        <v>47</v>
      </c>
      <c r="G4" s="3"/>
      <c r="H4" s="4"/>
      <c r="J4" s="6"/>
    </row>
    <row r="5" spans="1:11" ht="6" customHeight="1" x14ac:dyDescent="0.35">
      <c r="A5" s="4"/>
      <c r="B5" s="3"/>
      <c r="C5" s="4"/>
      <c r="D5" s="3"/>
      <c r="E5" s="4"/>
      <c r="G5" s="3"/>
      <c r="H5" s="4"/>
      <c r="J5" s="6"/>
    </row>
    <row r="6" spans="1:11" ht="15" customHeight="1" x14ac:dyDescent="0.35">
      <c r="A6" s="15" t="s">
        <v>4</v>
      </c>
      <c r="B6" s="2"/>
      <c r="C6" s="15" t="s">
        <v>4</v>
      </c>
      <c r="D6" s="3"/>
      <c r="E6" s="16" t="s">
        <v>4</v>
      </c>
      <c r="F6" s="15" t="s">
        <v>115</v>
      </c>
      <c r="G6" s="3"/>
      <c r="H6" s="16" t="s">
        <v>4</v>
      </c>
      <c r="J6" s="15" t="s">
        <v>4</v>
      </c>
    </row>
    <row r="7" spans="1:11" x14ac:dyDescent="0.35">
      <c r="A7" s="5">
        <v>2015</v>
      </c>
      <c r="B7" s="2"/>
      <c r="C7" s="8" t="s">
        <v>1</v>
      </c>
      <c r="D7" s="3"/>
      <c r="E7" s="7" t="s">
        <v>45</v>
      </c>
      <c r="F7" s="13">
        <v>1</v>
      </c>
      <c r="G7" s="3"/>
      <c r="H7" s="5" t="s">
        <v>42</v>
      </c>
      <c r="I7" s="3"/>
      <c r="J7" s="9" t="s">
        <v>56</v>
      </c>
    </row>
    <row r="8" spans="1:11" x14ac:dyDescent="0.35">
      <c r="A8" s="5">
        <v>2016</v>
      </c>
      <c r="B8" s="2"/>
      <c r="C8" s="8" t="s">
        <v>33</v>
      </c>
      <c r="D8" s="3"/>
      <c r="E8" s="7" t="s">
        <v>20</v>
      </c>
      <c r="F8" s="13">
        <v>1000</v>
      </c>
      <c r="G8" s="3"/>
      <c r="H8" s="5" t="s">
        <v>43</v>
      </c>
      <c r="I8" s="3"/>
      <c r="J8" s="9" t="s">
        <v>65</v>
      </c>
    </row>
    <row r="9" spans="1:11" x14ac:dyDescent="0.35">
      <c r="A9" s="5">
        <v>2017</v>
      </c>
      <c r="B9" s="1"/>
      <c r="C9" s="8" t="s">
        <v>28</v>
      </c>
      <c r="D9" s="3"/>
      <c r="E9" s="7" t="s">
        <v>51</v>
      </c>
      <c r="F9" s="14">
        <v>3.7854100000000002</v>
      </c>
      <c r="G9" s="3"/>
      <c r="H9" s="3"/>
      <c r="I9" s="3"/>
    </row>
    <row r="10" spans="1:11" x14ac:dyDescent="0.35">
      <c r="A10" s="5">
        <v>2018</v>
      </c>
      <c r="B10" s="1"/>
      <c r="C10" s="8" t="s">
        <v>32</v>
      </c>
      <c r="D10" s="3"/>
      <c r="E10" s="7" t="s">
        <v>121</v>
      </c>
      <c r="F10" s="17">
        <v>28.316849999999999</v>
      </c>
      <c r="G10" s="3"/>
      <c r="H10" s="3"/>
      <c r="I10" s="3"/>
    </row>
    <row r="11" spans="1:11" x14ac:dyDescent="0.35">
      <c r="A11" s="5">
        <v>2019</v>
      </c>
      <c r="B11" s="1"/>
      <c r="C11" s="8" t="s">
        <v>30</v>
      </c>
      <c r="D11" s="3"/>
      <c r="E11" s="7" t="s">
        <v>122</v>
      </c>
      <c r="F11" s="13">
        <v>2831.6850000000004</v>
      </c>
      <c r="G11" s="3"/>
      <c r="H11" s="3"/>
      <c r="I11" s="3"/>
      <c r="J11" s="3"/>
      <c r="K11" s="3"/>
    </row>
    <row r="12" spans="1:11" x14ac:dyDescent="0.35">
      <c r="A12" s="5">
        <v>2020</v>
      </c>
      <c r="B12" s="1"/>
      <c r="C12" s="8" t="s">
        <v>36</v>
      </c>
      <c r="D12" s="3"/>
      <c r="G12" s="3"/>
      <c r="H12" s="3"/>
      <c r="I12" s="3"/>
      <c r="J12" s="3"/>
      <c r="K12" s="3"/>
    </row>
    <row r="13" spans="1:11" x14ac:dyDescent="0.35">
      <c r="A13" s="3"/>
      <c r="B13" s="1"/>
      <c r="C13" s="8" t="s">
        <v>21</v>
      </c>
      <c r="D13" s="3"/>
      <c r="E13" s="3"/>
      <c r="F13" s="3"/>
      <c r="G13" s="3"/>
      <c r="H13" s="3"/>
      <c r="I13" s="3"/>
      <c r="J13" s="3"/>
      <c r="K13" s="3"/>
    </row>
    <row r="14" spans="1:11" x14ac:dyDescent="0.35">
      <c r="B14" s="1"/>
      <c r="C14" s="8" t="s">
        <v>22</v>
      </c>
      <c r="D14" s="3"/>
      <c r="E14" s="3"/>
      <c r="F14" s="3"/>
      <c r="G14" s="3"/>
      <c r="H14" s="3"/>
      <c r="I14" s="3"/>
      <c r="J14" s="3"/>
      <c r="K14" s="3"/>
    </row>
    <row r="15" spans="1:11" x14ac:dyDescent="0.35">
      <c r="B15" s="1"/>
      <c r="C15" s="8" t="s">
        <v>29</v>
      </c>
      <c r="D15" s="3"/>
      <c r="E15" s="3"/>
      <c r="F15" s="3"/>
      <c r="G15" s="3"/>
      <c r="H15" s="3"/>
      <c r="I15" s="3"/>
      <c r="J15" s="3"/>
      <c r="K15" s="3"/>
    </row>
    <row r="16" spans="1:11" x14ac:dyDescent="0.35">
      <c r="B16" s="1"/>
      <c r="C16" s="8" t="s">
        <v>34</v>
      </c>
      <c r="D16" s="3"/>
      <c r="E16" s="3"/>
      <c r="F16" s="3"/>
      <c r="G16" s="3"/>
      <c r="H16" s="3"/>
      <c r="I16" s="3"/>
      <c r="J16" s="3"/>
      <c r="K16" s="3"/>
    </row>
    <row r="17" spans="1:11" x14ac:dyDescent="0.35">
      <c r="B17" s="1"/>
      <c r="C17" s="8" t="s">
        <v>35</v>
      </c>
      <c r="D17" s="3"/>
      <c r="E17" s="3"/>
      <c r="F17" s="3"/>
      <c r="G17" s="3"/>
      <c r="H17" s="3"/>
      <c r="I17" s="3"/>
      <c r="J17" s="3"/>
      <c r="K17" s="3"/>
    </row>
    <row r="18" spans="1:11" x14ac:dyDescent="0.35">
      <c r="A18" s="3"/>
      <c r="B18" s="1"/>
      <c r="C18" s="8" t="s">
        <v>2</v>
      </c>
      <c r="D18" s="3"/>
      <c r="E18" s="3"/>
      <c r="F18" s="3"/>
      <c r="G18" s="3"/>
      <c r="H18" s="3"/>
      <c r="I18" s="3"/>
      <c r="J18" s="3"/>
      <c r="K18" s="3"/>
    </row>
    <row r="19" spans="1:11" x14ac:dyDescent="0.35">
      <c r="A19" s="3"/>
      <c r="B19" s="1"/>
      <c r="C19" s="8" t="s">
        <v>0</v>
      </c>
      <c r="D19" s="3"/>
      <c r="E19" s="3"/>
      <c r="F19" s="3"/>
      <c r="G19" s="3"/>
      <c r="H19" s="3"/>
      <c r="I19" s="3"/>
      <c r="J19" s="3"/>
      <c r="K19" s="3"/>
    </row>
    <row r="20" spans="1:11" x14ac:dyDescent="0.35">
      <c r="A20" s="3"/>
      <c r="B20" s="1"/>
      <c r="C20" s="8" t="s">
        <v>27</v>
      </c>
      <c r="D20" s="3"/>
      <c r="E20" s="3"/>
      <c r="F20" s="3"/>
      <c r="G20" s="3"/>
      <c r="H20" s="3"/>
      <c r="I20" s="3"/>
      <c r="J20" s="3"/>
      <c r="K20" s="3"/>
    </row>
    <row r="21" spans="1:11" x14ac:dyDescent="0.35">
      <c r="A21" s="3"/>
      <c r="B21" s="1"/>
      <c r="C21" s="8" t="s">
        <v>31</v>
      </c>
      <c r="D21" s="3"/>
      <c r="E21" s="3"/>
      <c r="F21" s="3"/>
      <c r="G21" s="3"/>
      <c r="H21" s="3"/>
      <c r="I21" s="3"/>
      <c r="J21" s="3"/>
      <c r="K21" s="3"/>
    </row>
    <row r="22" spans="1:11" x14ac:dyDescent="0.35">
      <c r="A22" s="3"/>
      <c r="B22" s="3"/>
      <c r="C22" s="3"/>
      <c r="D22" s="3"/>
      <c r="E22" s="3"/>
      <c r="F22" s="3"/>
      <c r="G22" s="3"/>
      <c r="H22" s="3"/>
      <c r="I22" s="3"/>
      <c r="J22" s="3"/>
      <c r="K22" s="3"/>
    </row>
    <row r="23" spans="1:11" x14ac:dyDescent="0.35">
      <c r="A23" s="3"/>
      <c r="B23" s="3"/>
      <c r="C23" s="3"/>
      <c r="D23" s="3"/>
      <c r="E23" s="3"/>
      <c r="F23" s="3"/>
      <c r="G23" s="3"/>
      <c r="H23" s="3"/>
      <c r="I23" s="3"/>
      <c r="J23" s="3"/>
      <c r="K23" s="3"/>
    </row>
    <row r="24" spans="1:11" x14ac:dyDescent="0.35">
      <c r="E24" s="3"/>
      <c r="F24" s="3"/>
    </row>
  </sheetData>
  <sheetProtection algorithmName="SHA-512" hashValue="2NvlLvoF3s7B2n5tHjgyVzNUE5VNmMjg6Ez9FWexoCkJa4CJQfsCsIXXW3i2bqJjAsHRYI0WitnmfmAFm6eS2A==" saltValue="qHq1OdwQOlP6hSc2v+oyBg==" spinCount="100000" sheet="1" objects="1" scenarios="1"/>
  <mergeCells count="1">
    <mergeCell ref="E3:F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5A81B09163A4BBCC468CDF006D695" ma:contentTypeVersion="13" ma:contentTypeDescription="Create a new document." ma:contentTypeScope="" ma:versionID="02cd9d772f6b6b9bc088a9ba4e6f7553">
  <xsd:schema xmlns:xsd="http://www.w3.org/2001/XMLSchema" xmlns:xs="http://www.w3.org/2001/XMLSchema" xmlns:p="http://schemas.microsoft.com/office/2006/metadata/properties" xmlns:ns2="bad5ab3f-bf7c-4966-88a8-795bf8ae8ffe" xmlns:ns3="799cf4f3-d198-4805-a4f8-cead1ec796e6" targetNamespace="http://schemas.microsoft.com/office/2006/metadata/properties" ma:root="true" ma:fieldsID="8de1f24f218ee83ad7d514d44be7a07d" ns2:_="" ns3:_="">
    <xsd:import namespace="bad5ab3f-bf7c-4966-88a8-795bf8ae8ffe"/>
    <xsd:import namespace="799cf4f3-d198-4805-a4f8-cead1ec796e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d5ab3f-bf7c-4966-88a8-795bf8ae8ff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99cf4f3-d198-4805-a4f8-cead1ec796e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1D07A0-88F1-4DB7-A6CA-EFFD4F603D1C}">
  <ds:schemaRefs>
    <ds:schemaRef ds:uri="http://schemas.microsoft.com/sharepoint/v3/contenttype/forms"/>
  </ds:schemaRefs>
</ds:datastoreItem>
</file>

<file path=customXml/itemProps2.xml><?xml version="1.0" encoding="utf-8"?>
<ds:datastoreItem xmlns:ds="http://schemas.openxmlformats.org/officeDocument/2006/customXml" ds:itemID="{38B420ED-BCF5-4016-828F-2AB2E9993F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d5ab3f-bf7c-4966-88a8-795bf8ae8ffe"/>
    <ds:schemaRef ds:uri="799cf4f3-d198-4805-a4f8-cead1ec79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1F472F-6A39-487E-A6C0-F1601629F78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Data Input</vt:lpstr>
      <vt:lpstr>NWUI Calculations</vt:lpstr>
      <vt:lpstr>REF - HDD,CDD  data</vt:lpstr>
      <vt:lpstr>REF - annual ET and EP data</vt:lpstr>
      <vt:lpstr>REF - Drop-down Menus</vt:lpstr>
      <vt:lpstr>'Data Input'!Print_Area</vt:lpstr>
      <vt:lpstr>'NWUI Calculations'!Print_Area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REALPAC</dc:creator>
  <cp:lastModifiedBy>Kristopher Kolenc</cp:lastModifiedBy>
  <cp:lastPrinted>2010-07-15T21:45:37Z</cp:lastPrinted>
  <dcterms:created xsi:type="dcterms:W3CDTF">2010-02-09T14:11:47Z</dcterms:created>
  <dcterms:modified xsi:type="dcterms:W3CDTF">2021-07-12T18:08:56Z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0x0101004175A81B09163A4BBCC468CDF006D695</vt:lpwstr>
  </property>
</Properties>
</file>